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codeName="ThisWorkbook"/>
  <mc:AlternateContent xmlns:mc="http://schemas.openxmlformats.org/markup-compatibility/2006">
    <mc:Choice Requires="x15">
      <x15ac:absPath xmlns:x15ac="http://schemas.microsoft.com/office/spreadsheetml/2010/11/ac" url="Y:\현은미\예산관련\2022년\2022년 1차추경\2022년 1차 추가경정예산(안) 및 제안설명\"/>
    </mc:Choice>
  </mc:AlternateContent>
  <xr:revisionPtr revIDLastSave="0" documentId="13_ncr:1_{D603D75F-BC4D-4472-8035-FF3EDF94F07A}" xr6:coauthVersionLast="36" xr6:coauthVersionMax="47" xr10:uidLastSave="{00000000-0000-0000-0000-000000000000}"/>
  <bookViews>
    <workbookView minimized="1" xWindow="28680" yWindow="-1770" windowWidth="29040" windowHeight="17640" tabRatio="842" activeTab="7" xr2:uid="{00000000-000D-0000-FFFF-FFFF00000000}"/>
  </bookViews>
  <sheets>
    <sheet name="표지" sheetId="1" r:id="rId1"/>
    <sheet name="세입세출총괄" sheetId="15" r:id="rId2"/>
    <sheet name="세입예산서" sheetId="12" r:id="rId3"/>
    <sheet name="세출예산서" sheetId="14" r:id="rId4"/>
    <sheet name="세출예산서(시도보조금_무한)" sheetId="5" r:id="rId5"/>
    <sheet name="세출예산서(시군구보조금_희망)" sheetId="6" r:id="rId6"/>
    <sheet name="세출예산서(후원금)" sheetId="16" r:id="rId7"/>
    <sheet name="세출예산서(잡수입)" sheetId="17" r:id="rId8"/>
    <sheet name="임직원보수일람표" sheetId="9" r:id="rId9"/>
    <sheet name="(법인전입금)" sheetId="10" state="hidden" r:id="rId10"/>
  </sheets>
  <definedNames>
    <definedName name="_xlnm.Print_Area" localSheetId="9">'(법인전입금)'!$A$1:$N$37</definedName>
    <definedName name="_xlnm.Print_Area" localSheetId="1">세입세출총괄!$A$1:$L$49</definedName>
    <definedName name="_xlnm.Print_Area" localSheetId="2">세입예산서!$A$1:$N$50</definedName>
    <definedName name="_xlnm.Print_Area" localSheetId="3">세출예산서!$A$1:$P$244</definedName>
    <definedName name="_xlnm.Print_Area" localSheetId="5">'세출예산서(시군구보조금_희망)'!$A$1:$P$163</definedName>
    <definedName name="_xlnm.Print_Area" localSheetId="4">'세출예산서(시도보조금_무한)'!$A$1:$P$72</definedName>
    <definedName name="_xlnm.Print_Area" localSheetId="7">'세출예산서(잡수입)'!$A$1:$P$32</definedName>
    <definedName name="_xlnm.Print_Area" localSheetId="6">'세출예산서(후원금)'!$A$1:$P$51</definedName>
    <definedName name="_xlnm.Print_Area" localSheetId="8">임직원보수일람표!$A$1:$I$17</definedName>
    <definedName name="_xlnm.Print_Area">#REF!</definedName>
    <definedName name="_xlnm.Print_Titles" localSheetId="1">세입세출총괄!$3:$6</definedName>
    <definedName name="_xlnm.Print_Titles" localSheetId="2">세입예산서!$2:$4</definedName>
    <definedName name="_xlnm.Print_Titles" localSheetId="3">세출예산서!$2:$4</definedName>
    <definedName name="_xlnm.Print_Titles" localSheetId="5">'세출예산서(시군구보조금_희망)'!$2:$4</definedName>
    <definedName name="_xlnm.Print_Titles" localSheetId="4">'세출예산서(시도보조금_무한)'!$2:$4</definedName>
    <definedName name="_xlnm.Print_Titles" localSheetId="6">'세출예산서(후원금)'!$2:$4</definedName>
    <definedName name="_xlnm.Print_Titles" localSheetId="8">임직원보수일람표!$1:$3</definedName>
    <definedName name="_xlnm.Print_Titles">#REF!</definedName>
    <definedName name="희망" localSheetId="3">#REF!</definedName>
    <definedName name="희망" localSheetId="5">#REF!</definedName>
    <definedName name="희망" localSheetId="4">#REF!</definedName>
    <definedName name="희망">#REF!</definedName>
  </definedNames>
  <calcPr calcId="191029"/>
</workbook>
</file>

<file path=xl/calcChain.xml><?xml version="1.0" encoding="utf-8"?>
<calcChain xmlns="http://schemas.openxmlformats.org/spreadsheetml/2006/main">
  <c r="P32" i="17" l="1"/>
  <c r="P29" i="17" s="1"/>
  <c r="E28" i="17" s="1"/>
  <c r="F28" i="17" s="1"/>
  <c r="P31" i="17"/>
  <c r="P30" i="17"/>
  <c r="E27" i="17"/>
  <c r="D26" i="17"/>
  <c r="D25" i="17"/>
  <c r="E23" i="17"/>
  <c r="E22" i="17" s="1"/>
  <c r="D22" i="17"/>
  <c r="D21" i="17"/>
  <c r="F20" i="17"/>
  <c r="E18" i="17"/>
  <c r="F18" i="17" s="1"/>
  <c r="P15" i="17"/>
  <c r="P14" i="17"/>
  <c r="P13" i="17"/>
  <c r="E12" i="17" s="1"/>
  <c r="D11" i="17"/>
  <c r="D10" i="17" s="1"/>
  <c r="P9" i="17"/>
  <c r="E8" i="17" s="1"/>
  <c r="D7" i="17"/>
  <c r="D6" i="17"/>
  <c r="F51" i="16"/>
  <c r="E51" i="16"/>
  <c r="E50" i="16"/>
  <c r="E49" i="16" s="1"/>
  <c r="D49" i="16"/>
  <c r="D48" i="16"/>
  <c r="P47" i="16"/>
  <c r="P46" i="16"/>
  <c r="P45" i="16"/>
  <c r="P44" i="16" s="1"/>
  <c r="E44" i="16" s="1"/>
  <c r="F44" i="16" s="1"/>
  <c r="P43" i="16"/>
  <c r="P42" i="16"/>
  <c r="P41" i="16"/>
  <c r="P40" i="16"/>
  <c r="P39" i="16"/>
  <c r="P38" i="16" s="1"/>
  <c r="P37" i="16"/>
  <c r="P36" i="16"/>
  <c r="P35" i="16"/>
  <c r="P34" i="16"/>
  <c r="P33" i="16"/>
  <c r="P32" i="16"/>
  <c r="P31" i="16"/>
  <c r="P30" i="16"/>
  <c r="P29" i="16" s="1"/>
  <c r="P28" i="16"/>
  <c r="P27" i="16"/>
  <c r="P26" i="16" s="1"/>
  <c r="P25" i="16"/>
  <c r="P24" i="16"/>
  <c r="P23" i="16"/>
  <c r="P20" i="16" s="1"/>
  <c r="P22" i="16"/>
  <c r="P21" i="16"/>
  <c r="P19" i="16"/>
  <c r="P18" i="16"/>
  <c r="P17" i="16" s="1"/>
  <c r="P15" i="16" s="1"/>
  <c r="E14" i="16" s="1"/>
  <c r="P16" i="16"/>
  <c r="D13" i="16"/>
  <c r="D12" i="16"/>
  <c r="F10" i="16"/>
  <c r="E8" i="16"/>
  <c r="E7" i="16" s="1"/>
  <c r="D7" i="16"/>
  <c r="D6" i="16"/>
  <c r="D5" i="16"/>
  <c r="F14" i="16" l="1"/>
  <c r="E13" i="16"/>
  <c r="E26" i="17"/>
  <c r="F22" i="17"/>
  <c r="E21" i="17"/>
  <c r="F21" i="17" s="1"/>
  <c r="F7" i="16"/>
  <c r="E6" i="16"/>
  <c r="E48" i="16"/>
  <c r="F48" i="16" s="1"/>
  <c r="F49" i="16"/>
  <c r="E7" i="17"/>
  <c r="F8" i="17"/>
  <c r="D5" i="17"/>
  <c r="E11" i="17"/>
  <c r="F12" i="17"/>
  <c r="F8" i="16"/>
  <c r="F50" i="16"/>
  <c r="F23" i="17"/>
  <c r="F27" i="17"/>
  <c r="E14" i="9"/>
  <c r="E18" i="9"/>
  <c r="E17" i="9"/>
  <c r="E16" i="9"/>
  <c r="G16" i="9"/>
  <c r="E15" i="9"/>
  <c r="E13" i="9"/>
  <c r="E12" i="9"/>
  <c r="E11" i="9"/>
  <c r="E10" i="9"/>
  <c r="E9" i="9"/>
  <c r="E8" i="9"/>
  <c r="E7" i="9"/>
  <c r="E6" i="9"/>
  <c r="E5" i="9"/>
  <c r="E4" i="9"/>
  <c r="F6" i="16" l="1"/>
  <c r="F26" i="17"/>
  <c r="E25" i="17"/>
  <c r="F25" i="17" s="1"/>
  <c r="F11" i="17"/>
  <c r="E10" i="17"/>
  <c r="F10" i="17" s="1"/>
  <c r="F7" i="17"/>
  <c r="E6" i="17"/>
  <c r="E12" i="16"/>
  <c r="F12" i="16" s="1"/>
  <c r="F13" i="16"/>
  <c r="G18" i="9"/>
  <c r="H18" i="9" s="1"/>
  <c r="G17" i="9"/>
  <c r="H17" i="9" s="1"/>
  <c r="F18" i="9"/>
  <c r="F6" i="17" l="1"/>
  <c r="E5" i="17"/>
  <c r="F5" i="17" s="1"/>
  <c r="E5" i="16"/>
  <c r="F5" i="16" s="1"/>
  <c r="I18" i="9"/>
  <c r="I17" i="9"/>
  <c r="D18" i="9" l="1"/>
  <c r="H16" i="9" l="1"/>
  <c r="I16" i="9" s="1"/>
  <c r="P202" i="14" l="1"/>
  <c r="P203" i="14" l="1"/>
  <c r="P232" i="14"/>
  <c r="P204" i="14"/>
  <c r="L49" i="15" l="1"/>
  <c r="L48" i="15"/>
  <c r="J47" i="15"/>
  <c r="J46" i="15" s="1"/>
  <c r="L46" i="15" s="1"/>
  <c r="L45" i="15"/>
  <c r="L44" i="15"/>
  <c r="J44" i="15"/>
  <c r="J43" i="15"/>
  <c r="L43" i="15" s="1"/>
  <c r="L42" i="15"/>
  <c r="L41" i="15"/>
  <c r="F41" i="15"/>
  <c r="J40" i="15"/>
  <c r="L40" i="15" s="1"/>
  <c r="F40" i="15"/>
  <c r="L39" i="15"/>
  <c r="F39" i="15"/>
  <c r="L38" i="15"/>
  <c r="E38" i="15"/>
  <c r="F38" i="15" s="1"/>
  <c r="D38" i="15"/>
  <c r="L37" i="15"/>
  <c r="J37" i="15"/>
  <c r="E37" i="15"/>
  <c r="F37" i="15" s="1"/>
  <c r="D37" i="15"/>
  <c r="J36" i="15"/>
  <c r="L36" i="15" s="1"/>
  <c r="F36" i="15"/>
  <c r="L35" i="15"/>
  <c r="L34" i="15"/>
  <c r="J33" i="15"/>
  <c r="L33" i="15" s="1"/>
  <c r="F33" i="15"/>
  <c r="E33" i="15"/>
  <c r="D33" i="15"/>
  <c r="J32" i="15"/>
  <c r="L32" i="15" s="1"/>
  <c r="E32" i="15"/>
  <c r="F32" i="15" s="1"/>
  <c r="D32" i="15"/>
  <c r="L31" i="15"/>
  <c r="F31" i="15"/>
  <c r="L30" i="15"/>
  <c r="E30" i="15"/>
  <c r="E29" i="15" s="1"/>
  <c r="L29" i="15"/>
  <c r="D29" i="15"/>
  <c r="D28" i="15" s="1"/>
  <c r="J28" i="15"/>
  <c r="L28" i="15" s="1"/>
  <c r="J27" i="15"/>
  <c r="L27" i="15" s="1"/>
  <c r="F27" i="15"/>
  <c r="L26" i="15"/>
  <c r="F26" i="15"/>
  <c r="L25" i="15"/>
  <c r="F25" i="15"/>
  <c r="L24" i="15"/>
  <c r="F24" i="15"/>
  <c r="L23" i="15"/>
  <c r="F23" i="15"/>
  <c r="L22" i="15"/>
  <c r="F22" i="15"/>
  <c r="L21" i="15"/>
  <c r="F21" i="15"/>
  <c r="D21" i="15"/>
  <c r="L20" i="15"/>
  <c r="E20" i="15"/>
  <c r="F20" i="15" s="1"/>
  <c r="D20" i="15"/>
  <c r="J19" i="15"/>
  <c r="L19" i="15" s="1"/>
  <c r="F19" i="15"/>
  <c r="L18" i="15"/>
  <c r="F18" i="15"/>
  <c r="L17" i="15"/>
  <c r="F17" i="15"/>
  <c r="L16" i="15"/>
  <c r="E16" i="15"/>
  <c r="E15" i="15" s="1"/>
  <c r="L15" i="15"/>
  <c r="J15" i="15"/>
  <c r="D15" i="15"/>
  <c r="D14" i="15" s="1"/>
  <c r="L14" i="15"/>
  <c r="L13" i="15"/>
  <c r="F13" i="15"/>
  <c r="L12" i="15"/>
  <c r="F12" i="15"/>
  <c r="L11" i="15"/>
  <c r="F11" i="15"/>
  <c r="L10" i="15"/>
  <c r="E10" i="15"/>
  <c r="E9" i="15" s="1"/>
  <c r="K9" i="15"/>
  <c r="K8" i="15" s="1"/>
  <c r="J9" i="15"/>
  <c r="J8" i="15" s="1"/>
  <c r="J7" i="15" s="1"/>
  <c r="D9" i="15"/>
  <c r="D8" i="15" s="1"/>
  <c r="D7" i="15" s="1"/>
  <c r="F10" i="15" l="1"/>
  <c r="E14" i="15"/>
  <c r="F14" i="15" s="1"/>
  <c r="F15" i="15"/>
  <c r="E28" i="15"/>
  <c r="F28" i="15" s="1"/>
  <c r="F29" i="15"/>
  <c r="K7" i="15"/>
  <c r="L7" i="15" s="1"/>
  <c r="L8" i="15"/>
  <c r="F9" i="15"/>
  <c r="E8" i="15"/>
  <c r="F30" i="15"/>
  <c r="L47" i="15"/>
  <c r="L9" i="15"/>
  <c r="F16" i="15"/>
  <c r="P45" i="5"/>
  <c r="H45" i="5"/>
  <c r="H47" i="5"/>
  <c r="P47" i="5" s="1"/>
  <c r="F8" i="15" l="1"/>
  <c r="E7" i="15"/>
  <c r="F7" i="15" s="1"/>
  <c r="P244" i="14"/>
  <c r="P243" i="14"/>
  <c r="P242" i="14"/>
  <c r="P241" i="14" s="1"/>
  <c r="E240" i="14" s="1"/>
  <c r="F240" i="14" s="1"/>
  <c r="E239" i="14"/>
  <c r="D238" i="14"/>
  <c r="D237" i="14" s="1"/>
  <c r="E235" i="14"/>
  <c r="E234" i="14" s="1"/>
  <c r="D234" i="14"/>
  <c r="D233" i="14" s="1"/>
  <c r="P231" i="14"/>
  <c r="P230" i="14"/>
  <c r="P229" i="14"/>
  <c r="P228" i="14"/>
  <c r="P227" i="14"/>
  <c r="P226" i="14"/>
  <c r="P224" i="14"/>
  <c r="P223" i="14"/>
  <c r="P222" i="14"/>
  <c r="P221" i="14"/>
  <c r="P220" i="14"/>
  <c r="P219" i="14"/>
  <c r="P217" i="14"/>
  <c r="P216" i="14"/>
  <c r="P215" i="14"/>
  <c r="P211" i="14" s="1"/>
  <c r="P214" i="14"/>
  <c r="P213" i="14"/>
  <c r="P212" i="14"/>
  <c r="P210" i="14"/>
  <c r="P209" i="14" s="1"/>
  <c r="P208" i="14"/>
  <c r="P207" i="14"/>
  <c r="P206" i="14" s="1"/>
  <c r="P205" i="14"/>
  <c r="P201" i="14"/>
  <c r="P199" i="14"/>
  <c r="P197" i="14" s="1"/>
  <c r="P198" i="14"/>
  <c r="P196" i="14"/>
  <c r="P194" i="14"/>
  <c r="D192" i="14"/>
  <c r="D191" i="14" s="1"/>
  <c r="E189" i="14"/>
  <c r="F189" i="14" s="1"/>
  <c r="F188" i="14"/>
  <c r="D187" i="14"/>
  <c r="D186" i="14" s="1"/>
  <c r="P185" i="14"/>
  <c r="P184" i="14"/>
  <c r="P183" i="14"/>
  <c r="P182" i="14"/>
  <c r="P181" i="14"/>
  <c r="P180" i="14"/>
  <c r="E178" i="14" s="1"/>
  <c r="F178" i="14" s="1"/>
  <c r="P179" i="14"/>
  <c r="P177" i="14"/>
  <c r="P176" i="14"/>
  <c r="N175" i="14"/>
  <c r="P175" i="14" s="1"/>
  <c r="N174" i="14"/>
  <c r="P174" i="14" s="1"/>
  <c r="P173" i="14" s="1"/>
  <c r="E172" i="14" s="1"/>
  <c r="F172" i="14" s="1"/>
  <c r="P171" i="14"/>
  <c r="P170" i="14"/>
  <c r="P169" i="14"/>
  <c r="P167" i="14"/>
  <c r="P166" i="14"/>
  <c r="P165" i="14"/>
  <c r="P164" i="14"/>
  <c r="P163" i="14"/>
  <c r="P161" i="14" s="1"/>
  <c r="P162" i="14"/>
  <c r="P160" i="14"/>
  <c r="P159" i="14"/>
  <c r="P158" i="14"/>
  <c r="P157" i="14"/>
  <c r="P156" i="14"/>
  <c r="P155" i="14"/>
  <c r="P154" i="14"/>
  <c r="P153" i="14"/>
  <c r="P151" i="14"/>
  <c r="P150" i="14"/>
  <c r="P149" i="14"/>
  <c r="P147" i="14"/>
  <c r="P146" i="14"/>
  <c r="P145" i="14"/>
  <c r="P144" i="14"/>
  <c r="P140" i="14"/>
  <c r="P139" i="14"/>
  <c r="P138" i="14"/>
  <c r="P137" i="14"/>
  <c r="P136" i="14"/>
  <c r="P135" i="14"/>
  <c r="P134" i="14"/>
  <c r="P133" i="14"/>
  <c r="P132" i="14"/>
  <c r="P131" i="14"/>
  <c r="P130" i="14"/>
  <c r="P129" i="14"/>
  <c r="P128" i="14"/>
  <c r="P127" i="14"/>
  <c r="P126" i="14"/>
  <c r="P125" i="14"/>
  <c r="P124" i="14"/>
  <c r="P123" i="14"/>
  <c r="P122" i="14"/>
  <c r="P121" i="14"/>
  <c r="P120" i="14"/>
  <c r="P119" i="14"/>
  <c r="P118" i="14"/>
  <c r="P117" i="14"/>
  <c r="P116" i="14"/>
  <c r="P115" i="14"/>
  <c r="E114" i="14"/>
  <c r="F114" i="14" s="1"/>
  <c r="P113" i="14"/>
  <c r="E112" i="14" s="1"/>
  <c r="D111" i="14"/>
  <c r="P110" i="14"/>
  <c r="P109" i="14"/>
  <c r="E108" i="14" s="1"/>
  <c r="F108" i="14" s="1"/>
  <c r="P106" i="14"/>
  <c r="E105" i="14" s="1"/>
  <c r="D104" i="14"/>
  <c r="E102" i="14"/>
  <c r="F102" i="14" s="1"/>
  <c r="P93" i="14"/>
  <c r="P92" i="14"/>
  <c r="P91" i="14"/>
  <c r="P90" i="14"/>
  <c r="P89" i="14"/>
  <c r="P88" i="14"/>
  <c r="P87" i="14"/>
  <c r="P86" i="14"/>
  <c r="P85" i="14"/>
  <c r="P84" i="14"/>
  <c r="P83" i="14"/>
  <c r="P82" i="14"/>
  <c r="P71" i="14"/>
  <c r="P70" i="14"/>
  <c r="P69" i="14"/>
  <c r="P68" i="14"/>
  <c r="P67" i="14"/>
  <c r="P66" i="14"/>
  <c r="P65" i="14"/>
  <c r="P64" i="14"/>
  <c r="P63" i="14"/>
  <c r="P62" i="14"/>
  <c r="P61" i="14"/>
  <c r="P60" i="14"/>
  <c r="P59" i="14"/>
  <c r="P58" i="14"/>
  <c r="P57" i="14"/>
  <c r="P56" i="14"/>
  <c r="P55" i="14"/>
  <c r="P54" i="14"/>
  <c r="P53" i="14"/>
  <c r="P52" i="14"/>
  <c r="P51" i="14"/>
  <c r="P50" i="14"/>
  <c r="P49" i="14"/>
  <c r="P48" i="14" s="1"/>
  <c r="P47" i="14"/>
  <c r="P46" i="14"/>
  <c r="P45" i="14"/>
  <c r="P44" i="14"/>
  <c r="P43" i="14"/>
  <c r="P42" i="14"/>
  <c r="P41" i="14"/>
  <c r="P40" i="14"/>
  <c r="P39" i="14"/>
  <c r="P38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D7" i="14"/>
  <c r="P34" i="5"/>
  <c r="E104" i="14" l="1"/>
  <c r="F104" i="14" s="1"/>
  <c r="F105" i="14"/>
  <c r="E143" i="14"/>
  <c r="F143" i="14" s="1"/>
  <c r="P168" i="14"/>
  <c r="E225" i="14"/>
  <c r="F225" i="14" s="1"/>
  <c r="P37" i="14"/>
  <c r="P152" i="14"/>
  <c r="D6" i="14"/>
  <c r="D5" i="14" s="1"/>
  <c r="P9" i="14"/>
  <c r="H95" i="14" s="1"/>
  <c r="P72" i="14"/>
  <c r="P200" i="14"/>
  <c r="P218" i="14"/>
  <c r="E193" i="14" s="1"/>
  <c r="F112" i="14"/>
  <c r="E148" i="14"/>
  <c r="F148" i="14" s="1"/>
  <c r="F234" i="14"/>
  <c r="E233" i="14"/>
  <c r="F233" i="14" s="1"/>
  <c r="E8" i="14"/>
  <c r="E238" i="14"/>
  <c r="E187" i="14"/>
  <c r="F235" i="14"/>
  <c r="F239" i="14"/>
  <c r="P195" i="14" l="1"/>
  <c r="E36" i="14"/>
  <c r="F36" i="14" s="1"/>
  <c r="H97" i="14"/>
  <c r="P95" i="14"/>
  <c r="E94" i="14" s="1"/>
  <c r="F94" i="14" s="1"/>
  <c r="E192" i="14"/>
  <c r="F193" i="14"/>
  <c r="F187" i="14"/>
  <c r="E186" i="14"/>
  <c r="F186" i="14" s="1"/>
  <c r="F8" i="14"/>
  <c r="F238" i="14"/>
  <c r="E237" i="14"/>
  <c r="F237" i="14" s="1"/>
  <c r="E111" i="14"/>
  <c r="F111" i="14" s="1"/>
  <c r="P97" i="14" l="1"/>
  <c r="H100" i="14"/>
  <c r="P100" i="14" s="1"/>
  <c r="H98" i="14"/>
  <c r="P98" i="14" s="1"/>
  <c r="H99" i="14" s="1"/>
  <c r="P99" i="14" s="1"/>
  <c r="H101" i="14"/>
  <c r="P101" i="14" s="1"/>
  <c r="F192" i="14"/>
  <c r="E191" i="14"/>
  <c r="F191" i="14" s="1"/>
  <c r="E96" i="14" l="1"/>
  <c r="F96" i="14" s="1"/>
  <c r="E7" i="14"/>
  <c r="F7" i="14" l="1"/>
  <c r="E6" i="14"/>
  <c r="F6" i="14" l="1"/>
  <c r="F5" i="14" s="1"/>
  <c r="E5" i="14"/>
  <c r="P89" i="6" l="1"/>
  <c r="P88" i="6"/>
  <c r="P87" i="6"/>
  <c r="P86" i="6"/>
  <c r="P85" i="6"/>
  <c r="P84" i="6"/>
  <c r="N50" i="12" l="1"/>
  <c r="N49" i="12"/>
  <c r="E48" i="12"/>
  <c r="E44" i="12" s="1"/>
  <c r="E43" i="12" s="1"/>
  <c r="N47" i="12"/>
  <c r="F46" i="12"/>
  <c r="E46" i="12"/>
  <c r="F45" i="12"/>
  <c r="D44" i="12"/>
  <c r="D43" i="12" s="1"/>
  <c r="F42" i="12"/>
  <c r="N41" i="12"/>
  <c r="N40" i="12"/>
  <c r="E39" i="12"/>
  <c r="F39" i="12" s="1"/>
  <c r="N37" i="12"/>
  <c r="N36" i="12"/>
  <c r="D34" i="12"/>
  <c r="D33" i="12" s="1"/>
  <c r="F32" i="12"/>
  <c r="E30" i="12"/>
  <c r="F30" i="12" s="1"/>
  <c r="F29" i="12" s="1"/>
  <c r="F28" i="12" s="1"/>
  <c r="D29" i="12"/>
  <c r="D28" i="12" s="1"/>
  <c r="N27" i="12"/>
  <c r="N26" i="12" s="1"/>
  <c r="E26" i="12" s="1"/>
  <c r="F26" i="12" s="1"/>
  <c r="N25" i="12"/>
  <c r="N23" i="12" s="1"/>
  <c r="E23" i="12" s="1"/>
  <c r="N24" i="12"/>
  <c r="D22" i="12"/>
  <c r="D21" i="12" s="1"/>
  <c r="E19" i="12"/>
  <c r="F19" i="12" s="1"/>
  <c r="F14" i="12" s="1"/>
  <c r="F17" i="12"/>
  <c r="E17" i="12"/>
  <c r="F15" i="12"/>
  <c r="E15" i="12"/>
  <c r="E14" i="12" s="1"/>
  <c r="E13" i="12" s="1"/>
  <c r="D14" i="12"/>
  <c r="D13" i="12" s="1"/>
  <c r="F8" i="12"/>
  <c r="F7" i="12" s="1"/>
  <c r="F6" i="12" s="1"/>
  <c r="E8" i="12"/>
  <c r="E7" i="12" s="1"/>
  <c r="E6" i="12" s="1"/>
  <c r="D7" i="12"/>
  <c r="D6" i="12" s="1"/>
  <c r="E22" i="12" l="1"/>
  <c r="E21" i="12" s="1"/>
  <c r="F23" i="12"/>
  <c r="F22" i="12" s="1"/>
  <c r="F21" i="12" s="1"/>
  <c r="D5" i="12"/>
  <c r="F13" i="12"/>
  <c r="F48" i="12"/>
  <c r="F44" i="12" s="1"/>
  <c r="F43" i="12" s="1"/>
  <c r="E29" i="12"/>
  <c r="E28" i="12" s="1"/>
  <c r="E35" i="12"/>
  <c r="F5" i="12" l="1"/>
  <c r="F35" i="12"/>
  <c r="F34" i="12" s="1"/>
  <c r="F33" i="12" s="1"/>
  <c r="E34" i="12"/>
  <c r="E33" i="12" s="1"/>
  <c r="E5" i="12"/>
  <c r="P159" i="6" l="1"/>
  <c r="P29" i="6"/>
  <c r="P11" i="6" l="1"/>
  <c r="P10" i="6"/>
  <c r="P33" i="5" l="1"/>
  <c r="P32" i="5"/>
  <c r="P31" i="5"/>
  <c r="P30" i="5"/>
  <c r="P29" i="5"/>
  <c r="P28" i="5"/>
  <c r="P27" i="5"/>
  <c r="P26" i="5"/>
  <c r="P24" i="5"/>
  <c r="P23" i="5"/>
  <c r="P22" i="5"/>
  <c r="P21" i="5"/>
  <c r="P18" i="5"/>
  <c r="P17" i="5"/>
  <c r="P16" i="5"/>
  <c r="P15" i="5"/>
  <c r="P14" i="5"/>
  <c r="P13" i="5"/>
  <c r="P12" i="5"/>
  <c r="P11" i="5"/>
  <c r="P10" i="5"/>
  <c r="P20" i="5" l="1"/>
  <c r="E19" i="5" s="1"/>
  <c r="P9" i="5"/>
  <c r="P25" i="5"/>
  <c r="E8" i="5"/>
  <c r="P104" i="6" l="1"/>
  <c r="P107" i="6"/>
  <c r="P102" i="6"/>
  <c r="P63" i="6"/>
  <c r="P50" i="6"/>
  <c r="E44" i="5" l="1"/>
  <c r="P26" i="6"/>
  <c r="P25" i="6"/>
  <c r="P49" i="6"/>
  <c r="P33" i="6"/>
  <c r="P24" i="6"/>
  <c r="P62" i="6"/>
  <c r="P61" i="6"/>
  <c r="P60" i="6"/>
  <c r="P59" i="6"/>
  <c r="P58" i="6"/>
  <c r="P57" i="6"/>
  <c r="P56" i="6"/>
  <c r="P55" i="6"/>
  <c r="P54" i="6"/>
  <c r="P53" i="6"/>
  <c r="P52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4" i="6"/>
  <c r="P32" i="6"/>
  <c r="P31" i="6"/>
  <c r="P30" i="6"/>
  <c r="P23" i="6"/>
  <c r="P22" i="6"/>
  <c r="P21" i="6"/>
  <c r="P20" i="6"/>
  <c r="P19" i="6"/>
  <c r="P18" i="6"/>
  <c r="P17" i="6"/>
  <c r="P16" i="6"/>
  <c r="P15" i="6"/>
  <c r="P14" i="6"/>
  <c r="P13" i="6"/>
  <c r="P12" i="6"/>
  <c r="P140" i="6"/>
  <c r="P144" i="6"/>
  <c r="P143" i="6"/>
  <c r="P101" i="6"/>
  <c r="P35" i="6" l="1"/>
  <c r="P9" i="6"/>
  <c r="H65" i="6" s="1"/>
  <c r="P28" i="6"/>
  <c r="E27" i="6" s="1"/>
  <c r="P51" i="6"/>
  <c r="H48" i="5"/>
  <c r="H50" i="5" s="1"/>
  <c r="H51" i="5" s="1"/>
  <c r="P65" i="6" l="1"/>
  <c r="E64" i="6" s="1"/>
  <c r="H67" i="6"/>
  <c r="E8" i="6"/>
  <c r="P67" i="6" l="1"/>
  <c r="H68" i="6"/>
  <c r="P68" i="6" s="1"/>
  <c r="H71" i="6"/>
  <c r="P71" i="6" s="1"/>
  <c r="H70" i="6" l="1"/>
  <c r="P70" i="6" s="1"/>
  <c r="P142" i="6"/>
  <c r="F37" i="10" l="1"/>
  <c r="N35" i="10"/>
  <c r="E34" i="10"/>
  <c r="E33" i="10" s="1"/>
  <c r="D33" i="10"/>
  <c r="D32" i="10" s="1"/>
  <c r="N31" i="10"/>
  <c r="E30" i="10" s="1"/>
  <c r="F30" i="10"/>
  <c r="N29" i="10"/>
  <c r="E28" i="10"/>
  <c r="E27" i="10" s="1"/>
  <c r="D27" i="10"/>
  <c r="E25" i="10"/>
  <c r="F25" i="10" s="1"/>
  <c r="N24" i="10"/>
  <c r="E23" i="10" s="1"/>
  <c r="D22" i="10"/>
  <c r="N21" i="10"/>
  <c r="E18" i="10" s="1"/>
  <c r="F18" i="10" s="1"/>
  <c r="N20" i="10"/>
  <c r="N19" i="10"/>
  <c r="N17" i="10"/>
  <c r="N16" i="10"/>
  <c r="N15" i="10"/>
  <c r="N14" i="10"/>
  <c r="N9" i="10"/>
  <c r="H13" i="10" s="1"/>
  <c r="N13" i="10" s="1"/>
  <c r="E12" i="10" s="1"/>
  <c r="F12" i="10" s="1"/>
  <c r="D7" i="10"/>
  <c r="G15" i="9"/>
  <c r="G14" i="9"/>
  <c r="G13" i="9"/>
  <c r="G12" i="9"/>
  <c r="G11" i="9"/>
  <c r="G10" i="9"/>
  <c r="G9" i="9"/>
  <c r="G8" i="9"/>
  <c r="G7" i="9"/>
  <c r="G6" i="9"/>
  <c r="G5" i="9"/>
  <c r="G4" i="9"/>
  <c r="E162" i="6"/>
  <c r="E161" i="6" s="1"/>
  <c r="D161" i="6"/>
  <c r="D160" i="6" s="1"/>
  <c r="P158" i="6"/>
  <c r="P157" i="6"/>
  <c r="P156" i="6"/>
  <c r="P154" i="6"/>
  <c r="E153" i="6" s="1"/>
  <c r="D152" i="6"/>
  <c r="D151" i="6" s="1"/>
  <c r="E149" i="6"/>
  <c r="F149" i="6" s="1"/>
  <c r="E147" i="6"/>
  <c r="F147" i="6" s="1"/>
  <c r="D146" i="6"/>
  <c r="D145" i="6" s="1"/>
  <c r="P141" i="6"/>
  <c r="P139" i="6"/>
  <c r="E138" i="6" s="1"/>
  <c r="P137" i="6"/>
  <c r="P136" i="6"/>
  <c r="P135" i="6"/>
  <c r="P134" i="6"/>
  <c r="P133" i="6" s="1"/>
  <c r="P131" i="6"/>
  <c r="P130" i="6"/>
  <c r="P129" i="6"/>
  <c r="P127" i="6"/>
  <c r="P126" i="6"/>
  <c r="P125" i="6"/>
  <c r="P124" i="6"/>
  <c r="P123" i="6"/>
  <c r="P122" i="6"/>
  <c r="P120" i="6"/>
  <c r="P119" i="6"/>
  <c r="P118" i="6"/>
  <c r="P117" i="6"/>
  <c r="P116" i="6"/>
  <c r="P115" i="6"/>
  <c r="P114" i="6"/>
  <c r="P113" i="6"/>
  <c r="P111" i="6"/>
  <c r="P110" i="6"/>
  <c r="P109" i="6"/>
  <c r="P106" i="6"/>
  <c r="P105" i="6"/>
  <c r="P100" i="6"/>
  <c r="P99" i="6"/>
  <c r="P98" i="6"/>
  <c r="P97" i="6"/>
  <c r="P96" i="6"/>
  <c r="P95" i="6"/>
  <c r="P94" i="6"/>
  <c r="P93" i="6"/>
  <c r="P92" i="6"/>
  <c r="P91" i="6"/>
  <c r="P90" i="6"/>
  <c r="P82" i="6"/>
  <c r="E81" i="6" s="1"/>
  <c r="D80" i="6"/>
  <c r="P79" i="6"/>
  <c r="P78" i="6"/>
  <c r="P76" i="6"/>
  <c r="E75" i="6" s="1"/>
  <c r="D74" i="6"/>
  <c r="E72" i="6"/>
  <c r="F72" i="6" s="1"/>
  <c r="D7" i="6"/>
  <c r="F72" i="5"/>
  <c r="F70" i="5" s="1"/>
  <c r="E71" i="5"/>
  <c r="E70" i="5" s="1"/>
  <c r="E69" i="5" s="1"/>
  <c r="D70" i="5"/>
  <c r="D69" i="5" s="1"/>
  <c r="E67" i="5"/>
  <c r="F67" i="5" s="1"/>
  <c r="D66" i="5"/>
  <c r="D65" i="5" s="1"/>
  <c r="P64" i="5"/>
  <c r="P63" i="5"/>
  <c r="P60" i="5"/>
  <c r="P59" i="5"/>
  <c r="P58" i="5"/>
  <c r="P57" i="5"/>
  <c r="P56" i="5"/>
  <c r="P55" i="5"/>
  <c r="P54" i="5"/>
  <c r="D52" i="5"/>
  <c r="D7" i="5"/>
  <c r="H4" i="9" l="1"/>
  <c r="I4" i="9" s="1"/>
  <c r="P112" i="6"/>
  <c r="P121" i="6"/>
  <c r="E155" i="6"/>
  <c r="P62" i="5"/>
  <c r="E61" i="5" s="1"/>
  <c r="F61" i="5" s="1"/>
  <c r="E22" i="10"/>
  <c r="F22" i="10" s="1"/>
  <c r="F23" i="10"/>
  <c r="F69" i="5"/>
  <c r="E8" i="10"/>
  <c r="E53" i="5"/>
  <c r="F53" i="5" s="1"/>
  <c r="D6" i="5"/>
  <c r="D5" i="5" s="1"/>
  <c r="E66" i="5"/>
  <c r="E65" i="5" s="1"/>
  <c r="E132" i="6"/>
  <c r="P77" i="6"/>
  <c r="E77" i="6" s="1"/>
  <c r="E83" i="6"/>
  <c r="F83" i="6" s="1"/>
  <c r="E103" i="6"/>
  <c r="F103" i="6" s="1"/>
  <c r="F138" i="6"/>
  <c r="F155" i="6"/>
  <c r="E108" i="6"/>
  <c r="F8" i="5"/>
  <c r="F8" i="6"/>
  <c r="D6" i="6"/>
  <c r="D5" i="6" s="1"/>
  <c r="H5" i="9"/>
  <c r="I5" i="9" s="1"/>
  <c r="H13" i="9"/>
  <c r="I13" i="9" s="1"/>
  <c r="H11" i="9"/>
  <c r="I11" i="9" s="1"/>
  <c r="H9" i="9"/>
  <c r="I9" i="9" s="1"/>
  <c r="H7" i="9"/>
  <c r="I7" i="9" s="1"/>
  <c r="H15" i="9"/>
  <c r="I15" i="9" s="1"/>
  <c r="H8" i="9"/>
  <c r="I8" i="9" s="1"/>
  <c r="H12" i="9"/>
  <c r="I12" i="9" s="1"/>
  <c r="H14" i="9"/>
  <c r="I14" i="9" s="1"/>
  <c r="F33" i="10"/>
  <c r="E32" i="10"/>
  <c r="F32" i="10" s="1"/>
  <c r="F161" i="6"/>
  <c r="E160" i="6"/>
  <c r="F160" i="6" s="1"/>
  <c r="F27" i="10"/>
  <c r="F34" i="10"/>
  <c r="H6" i="9"/>
  <c r="I6" i="9" s="1"/>
  <c r="H10" i="9"/>
  <c r="I10" i="9" s="1"/>
  <c r="F75" i="6"/>
  <c r="F77" i="6"/>
  <c r="E146" i="6"/>
  <c r="F162" i="6"/>
  <c r="D6" i="10"/>
  <c r="D5" i="10" s="1"/>
  <c r="F28" i="10"/>
  <c r="F81" i="6"/>
  <c r="E152" i="6"/>
  <c r="F153" i="6"/>
  <c r="F8" i="10"/>
  <c r="H11" i="10"/>
  <c r="N11" i="10" s="1"/>
  <c r="E10" i="10" s="1"/>
  <c r="F10" i="10" s="1"/>
  <c r="F66" i="5" l="1"/>
  <c r="F65" i="5" s="1"/>
  <c r="F52" i="5"/>
  <c r="E52" i="5"/>
  <c r="F132" i="6"/>
  <c r="E80" i="6"/>
  <c r="F80" i="6" s="1"/>
  <c r="F27" i="6"/>
  <c r="F146" i="6"/>
  <c r="E145" i="6"/>
  <c r="F145" i="6" s="1"/>
  <c r="E151" i="6"/>
  <c r="F151" i="6" s="1"/>
  <c r="F152" i="6"/>
  <c r="E7" i="10"/>
  <c r="E74" i="6"/>
  <c r="F74" i="6" s="1"/>
  <c r="F44" i="5" l="1"/>
  <c r="F108" i="6"/>
  <c r="F64" i="6"/>
  <c r="E6" i="10"/>
  <c r="F7" i="10"/>
  <c r="F19" i="5"/>
  <c r="H69" i="6" l="1"/>
  <c r="P69" i="6" s="1"/>
  <c r="E66" i="6" s="1"/>
  <c r="E5" i="10"/>
  <c r="F5" i="10" s="1"/>
  <c r="F6" i="10"/>
  <c r="P48" i="5"/>
  <c r="H49" i="5" s="1"/>
  <c r="P49" i="5" s="1"/>
  <c r="E7" i="6" l="1"/>
  <c r="F7" i="6" s="1"/>
  <c r="F66" i="6"/>
  <c r="P51" i="5"/>
  <c r="P50" i="5"/>
  <c r="E46" i="5" l="1"/>
  <c r="E7" i="5" l="1"/>
  <c r="F46" i="5"/>
  <c r="F7" i="5" s="1"/>
  <c r="E6" i="6"/>
  <c r="E5" i="6" l="1"/>
  <c r="F5" i="6" s="1"/>
  <c r="F6" i="6"/>
  <c r="E6" i="5"/>
  <c r="F6" i="5" s="1"/>
  <c r="F5" i="5" s="1"/>
  <c r="E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현은미</author>
  </authors>
  <commentList>
    <comment ref="A233" authorId="0" shapeId="0" xr:uid="{D544336E-5B95-4DEF-AA09-DBD1C96D6DBF}">
      <text>
        <r>
          <rPr>
            <b/>
            <sz val="9"/>
            <color rgb="FF000000"/>
            <rFont val="굴림"/>
            <family val="3"/>
            <charset val="129"/>
          </rPr>
          <t xml:space="preserve">현은미: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3" authorId="0" shapeId="0" xr:uid="{60ACBB9E-8AD3-4AD3-8170-0B3A9BB9EA56}">
      <text>
        <r>
          <rPr>
            <b/>
            <sz val="9"/>
            <color indexed="81"/>
            <rFont val="돋움"/>
            <family val="3"/>
            <charset val="129"/>
          </rPr>
          <t>가족수당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시간외수당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특수근무수당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 xml:space="preserve">처우개선비
</t>
        </r>
      </text>
    </comment>
    <comment ref="F3" authorId="0" shapeId="0" xr:uid="{620BF749-9894-47F3-8469-4C060050E510}">
      <text>
        <r>
          <rPr>
            <sz val="9"/>
            <color indexed="81"/>
            <rFont val="돋움"/>
            <family val="3"/>
            <charset val="129"/>
          </rPr>
          <t xml:space="preserve">명절휴가비
</t>
        </r>
      </text>
    </comment>
  </commentList>
</comments>
</file>

<file path=xl/sharedStrings.xml><?xml version="1.0" encoding="utf-8"?>
<sst xmlns="http://schemas.openxmlformats.org/spreadsheetml/2006/main" count="2029" uniqueCount="380">
  <si>
    <t>관</t>
  </si>
  <si>
    <t>목</t>
  </si>
  <si>
    <t>항</t>
  </si>
  <si>
    <t xml:space="preserve"> 계</t>
  </si>
  <si>
    <t>계</t>
  </si>
  <si>
    <t>전정수</t>
  </si>
  <si>
    <t>2022년 북부희망케어센터 세출예산서(무한돌봄운영 보조금)</t>
  </si>
  <si>
    <t>2022년 북부희망케어센터 세출예산서(희망케어운영 보조금)</t>
  </si>
  <si>
    <t>○기타수수료(공인인증서 갱신 등)</t>
  </si>
  <si>
    <t>○ 희망매니저관리비(회의비등)</t>
  </si>
  <si>
    <t>○센터 서류 봉투제작(대,소)</t>
  </si>
  <si>
    <t xml:space="preserve"> - 화물차(탑차,포터,포터2)</t>
  </si>
  <si>
    <t>115 퇴직금 및  퇴직적립금</t>
  </si>
  <si>
    <t>○희망케어센터메인홈페이지이미지제작</t>
  </si>
  <si>
    <t xml:space="preserve">○ 커뮤니티케어(시범사업)사업 </t>
  </si>
  <si>
    <t>712 전년도 이월금(후원금)</t>
  </si>
  <si>
    <t>○관계기관회의비(통합사례회의비등)</t>
  </si>
  <si>
    <t>남양주시 사회복지관 북부희망케어센터</t>
  </si>
  <si>
    <t>○직원해외연수(커뮤니티케어사업)</t>
  </si>
  <si>
    <t>711 전년도 이월금(후원금)</t>
  </si>
  <si>
    <t xml:space="preserve">     - 희망빌리지 지원사업 </t>
  </si>
  <si>
    <t>박진영</t>
  </si>
  <si>
    <t>김희정</t>
  </si>
  <si>
    <t>김규석</t>
  </si>
  <si>
    <t>안진록</t>
  </si>
  <si>
    <t>엄슬비</t>
  </si>
  <si>
    <t>사무원</t>
  </si>
  <si>
    <t>성명</t>
  </si>
  <si>
    <t>김민아</t>
  </si>
  <si>
    <t>X</t>
  </si>
  <si>
    <t>센터장</t>
  </si>
  <si>
    <t>공제액</t>
  </si>
  <si>
    <t>수당</t>
  </si>
  <si>
    <t>본봉</t>
  </si>
  <si>
    <t>순위</t>
  </si>
  <si>
    <t>현은미</t>
  </si>
  <si>
    <t>=</t>
  </si>
  <si>
    <t xml:space="preserve"> </t>
  </si>
  <si>
    <t>조하영</t>
  </si>
  <si>
    <t>권현수</t>
  </si>
  <si>
    <t>이예슬</t>
  </si>
  <si>
    <t>본예산</t>
  </si>
  <si>
    <t>×</t>
  </si>
  <si>
    <t>이대연</t>
  </si>
  <si>
    <t>임원택</t>
  </si>
  <si>
    <t>⑥환경개선부담금</t>
  </si>
  <si>
    <t>○핸드폰요금(무선)</t>
  </si>
  <si>
    <t>○ 사례관리 진행비</t>
  </si>
  <si>
    <t xml:space="preserve"> - 승용차(뉴모닝)</t>
  </si>
  <si>
    <t xml:space="preserve"> - 화물차(포터)</t>
  </si>
  <si>
    <t>312지역조직화사업</t>
  </si>
  <si>
    <t>122 직책보조비</t>
  </si>
  <si>
    <t>21 과년도수입</t>
  </si>
  <si>
    <t>○업무수행활동비</t>
  </si>
  <si>
    <t>○불교신문구독료</t>
  </si>
  <si>
    <t>07 예비비 및 기타</t>
  </si>
  <si>
    <t>312 지역조직화</t>
  </si>
  <si>
    <t xml:space="preserve"> - 승용차(스파크)</t>
  </si>
  <si>
    <t>○시간외근무수당</t>
  </si>
  <si>
    <t>○보조금 반납금(잡)</t>
  </si>
  <si>
    <t>511원금상환금</t>
  </si>
  <si>
    <t xml:space="preserve"> - 승합차(스파크)</t>
  </si>
  <si>
    <t xml:space="preserve"> - 휘발유(3대)</t>
  </si>
  <si>
    <t xml:space="preserve"> - 승용차(모닝)</t>
  </si>
  <si>
    <t xml:space="preserve">     - 기타지원</t>
  </si>
  <si>
    <t>311 지역사회보호</t>
  </si>
  <si>
    <t xml:space="preserve"> - 경유(5대)</t>
  </si>
  <si>
    <t>117 기타 후생경비</t>
  </si>
  <si>
    <t>314 특별사업비</t>
  </si>
  <si>
    <t>511 금융기관차입금</t>
  </si>
  <si>
    <t>312 시도보조금</t>
  </si>
  <si>
    <t>411과년도지출</t>
  </si>
  <si>
    <t xml:space="preserve"> - 화물차(탑차)</t>
  </si>
  <si>
    <t>세      출</t>
  </si>
  <si>
    <t>○운영위원회정기회의비</t>
  </si>
  <si>
    <t>(단위 : 원)</t>
  </si>
  <si>
    <t>세      입</t>
  </si>
  <si>
    <t>03 보조금수입</t>
  </si>
  <si>
    <t>713 이월사업비</t>
  </si>
  <si>
    <t>512 기타차입금</t>
  </si>
  <si>
    <t>137 기타운영비</t>
  </si>
  <si>
    <t>○직원위로품(설날)</t>
  </si>
  <si>
    <t>직종 또는
직위(급)</t>
  </si>
  <si>
    <r>
      <rPr>
        <u/>
        <sz val="22"/>
        <color rgb="FF000000"/>
        <rFont val="휴먼엑스포"/>
        <family val="1"/>
        <charset val="129"/>
      </rPr>
      <t>임․직원보수일람표</t>
    </r>
    <r>
      <rPr>
        <sz val="22"/>
        <color rgb="FF000000"/>
        <rFont val="휴먼엑스포"/>
        <family val="1"/>
        <charset val="129"/>
      </rPr>
      <t xml:space="preserve">
</t>
    </r>
  </si>
  <si>
    <t xml:space="preserve"> - 승용차(아반떼)</t>
  </si>
  <si>
    <t>411 지정후원금</t>
  </si>
  <si>
    <t>313 시군구보조금</t>
  </si>
  <si>
    <t>711 전년도 이월금</t>
  </si>
  <si>
    <t>512이자지급금</t>
  </si>
  <si>
    <t>○직원위로품(추석)</t>
  </si>
  <si>
    <t>314 기타보조금</t>
  </si>
  <si>
    <t>04 후원금 수입</t>
  </si>
  <si>
    <t>02 과년도수입</t>
  </si>
  <si>
    <t>○재단시설협의회</t>
  </si>
  <si>
    <t>412 비지정후원금</t>
  </si>
  <si>
    <t>51 부채상환금</t>
  </si>
  <si>
    <t xml:space="preserve">211 과년도수입 </t>
  </si>
  <si>
    <t>41 후원금수입</t>
  </si>
  <si>
    <t xml:space="preserve">○비지정후원금 </t>
  </si>
  <si>
    <t>813 기타잡수입</t>
  </si>
  <si>
    <t>04 과년도지출</t>
  </si>
  <si>
    <t>712 이월사업비</t>
  </si>
  <si>
    <t>211 과년도수입</t>
  </si>
  <si>
    <t xml:space="preserve"> - 화물차(포터2)</t>
  </si>
  <si>
    <t>○보조금 예금이자</t>
  </si>
  <si>
    <t>111 사업수입</t>
  </si>
  <si>
    <t>71예비비및기타</t>
  </si>
  <si>
    <t>311 국고보조금</t>
  </si>
  <si>
    <t>811 불용품매각대</t>
  </si>
  <si>
    <t>611 법인전입금</t>
  </si>
  <si>
    <t>121기관운영비</t>
  </si>
  <si>
    <t>○ 기타특별사업</t>
  </si>
  <si>
    <t>71 예비비 및 기타</t>
  </si>
  <si>
    <t>134 제세공과금</t>
  </si>
  <si>
    <t>132 수용비및수수료</t>
  </si>
  <si>
    <t>137  기타운영비</t>
  </si>
  <si>
    <t>12 업무추진비</t>
  </si>
  <si>
    <t>07 예비비및기타</t>
  </si>
  <si>
    <t>311지역사회보호</t>
  </si>
  <si>
    <t>116 사대보험</t>
  </si>
  <si>
    <t>○커피머신임대료</t>
  </si>
  <si>
    <t>123  회의비</t>
  </si>
  <si>
    <t>02 재산조성비</t>
  </si>
  <si>
    <t>소      계</t>
  </si>
  <si>
    <t>121 기관운영비</t>
  </si>
  <si>
    <t>○퇴직연금관리수수료</t>
  </si>
  <si>
    <t>213 시설장비유지비</t>
  </si>
  <si>
    <t>117 기타후생경비</t>
  </si>
  <si>
    <t>○통행료및주차료</t>
  </si>
  <si>
    <t>71 예비비및기타</t>
  </si>
  <si>
    <t>○보안경비유지비</t>
  </si>
  <si>
    <t>○cctv이용요금</t>
  </si>
  <si>
    <t>312 지역조직화사업</t>
  </si>
  <si>
    <t>○보안장비임대료</t>
  </si>
  <si>
    <t>133 공공요금</t>
  </si>
  <si>
    <t>○정수기유지관리비</t>
  </si>
  <si>
    <t>○소모품 및 위생용품</t>
  </si>
  <si>
    <t>○물품유지수선비</t>
  </si>
  <si>
    <t>○공기청정기임대료</t>
  </si>
  <si>
    <t>○해충방제서비스</t>
  </si>
  <si>
    <t>212 자산취득비</t>
  </si>
  <si>
    <t>○sms문자발송비</t>
  </si>
  <si>
    <t>○운영위원활동수당</t>
  </si>
  <si>
    <t>116 사대보험부담금</t>
  </si>
  <si>
    <t xml:space="preserve">     - 긴급지원</t>
  </si>
  <si>
    <t>사회복지사
(선임)</t>
  </si>
  <si>
    <t>○ 복지넷연계사업</t>
  </si>
  <si>
    <t xml:space="preserve">   - 월드비전 꿈꾸는 아이들 "꿈디자이너"</t>
  </si>
  <si>
    <t>2020년 북부희망케어센터 세출예산서(법인전입금)</t>
  </si>
  <si>
    <t>○전자결재 및 서버관리비</t>
  </si>
  <si>
    <t>○센터 쇼핑백제작(대,소)</t>
  </si>
  <si>
    <t>115 퇴직금 및 퇴직적립금</t>
  </si>
  <si>
    <t>○현수막 및 현판제작비</t>
  </si>
  <si>
    <t>○희망하우스 보증금 반입</t>
  </si>
  <si>
    <t xml:space="preserve">     - 주거비지원</t>
  </si>
  <si>
    <t>①시설종합안전배상공제보험</t>
  </si>
  <si>
    <t>132 수용비및 수수료</t>
  </si>
  <si>
    <t xml:space="preserve">     - 교육비지원</t>
  </si>
  <si>
    <t>612 법인전입금(후원금)</t>
  </si>
  <si>
    <t>○ 마을돌봄리더 자조모임</t>
  </si>
  <si>
    <t xml:space="preserve"> - 승용차(모닝,뉴모닝)</t>
  </si>
  <si>
    <t xml:space="preserve">   2021년 이자수입</t>
  </si>
  <si>
    <t xml:space="preserve">     - 돌봄서비스사업</t>
  </si>
  <si>
    <t xml:space="preserve">   - 희망리퀘스트 사업</t>
  </si>
  <si>
    <t xml:space="preserve"> -남양주시사회복지협의회</t>
  </si>
  <si>
    <t xml:space="preserve">     - 의료비지원</t>
  </si>
  <si>
    <t>○직원교육비(내,외부교육)</t>
  </si>
  <si>
    <t xml:space="preserve">     - 식수개선지원사업</t>
  </si>
  <si>
    <t xml:space="preserve">   2021년 보조금반납금</t>
  </si>
  <si>
    <t xml:space="preserve">     - 정신건강지원</t>
  </si>
  <si>
    <t>- 경기도사회복지관협회</t>
  </si>
  <si>
    <t>○희망케어센터 사회복지보조금</t>
  </si>
  <si>
    <t>○팀장(총괄)직책보조비</t>
  </si>
  <si>
    <t xml:space="preserve">     - 생활비지원</t>
  </si>
  <si>
    <t>○희망하우스 보증금지원</t>
  </si>
  <si>
    <t>○홍보물제작(각종인쇄 등)</t>
  </si>
  <si>
    <t>132 수용비 및 수수료</t>
  </si>
  <si>
    <t>○월드비전(꿈꾸는아이들)</t>
  </si>
  <si>
    <t xml:space="preserve"> - 승합차(그랜드스타렉스)</t>
  </si>
  <si>
    <t xml:space="preserve"> -남양주통합돌봄네트워크</t>
  </si>
  <si>
    <t>812 기타예금이자수입</t>
  </si>
  <si>
    <t xml:space="preserve">     - 주거환경개선</t>
  </si>
  <si>
    <t>21 시설비</t>
  </si>
  <si>
    <t>61 잡지출</t>
  </si>
  <si>
    <t>○산재보험</t>
  </si>
  <si>
    <t>01 사무비</t>
  </si>
  <si>
    <t>11 인건비</t>
  </si>
  <si>
    <t>06 잡지출</t>
  </si>
  <si>
    <t>○국민연금</t>
  </si>
  <si>
    <t>소   계</t>
  </si>
  <si>
    <t>131 여비</t>
  </si>
  <si>
    <t>611 잡지출</t>
  </si>
  <si>
    <t>항   목</t>
  </si>
  <si>
    <t>소     계</t>
  </si>
  <si>
    <t>세 출 총 계</t>
  </si>
  <si>
    <t>○요양보험</t>
  </si>
  <si>
    <t>○프린터임대료</t>
  </si>
  <si>
    <t>112 제수당</t>
  </si>
  <si>
    <t>○건강보험</t>
  </si>
  <si>
    <t>712 반환금</t>
  </si>
  <si>
    <t>711 예비비</t>
  </si>
  <si>
    <t>소    계</t>
  </si>
  <si>
    <t>111 급여</t>
  </si>
  <si>
    <t>○고용보험</t>
  </si>
  <si>
    <t>○차량유류비</t>
  </si>
  <si>
    <t>13 운영비</t>
  </si>
  <si>
    <t>61잡지출</t>
  </si>
  <si>
    <t>123 회의비</t>
  </si>
  <si>
    <t>○잡수입</t>
  </si>
  <si>
    <t>41후원금수입</t>
  </si>
  <si>
    <t>②차량정비비</t>
  </si>
  <si>
    <t>비교증감</t>
  </si>
  <si>
    <t>02과년도수입</t>
  </si>
  <si>
    <t>51 차입금</t>
  </si>
  <si>
    <t>○야근식대</t>
  </si>
  <si>
    <t>1차추경</t>
  </si>
  <si>
    <t>○복사용지</t>
  </si>
  <si>
    <t>135 차량비</t>
  </si>
  <si>
    <t>05 차입금</t>
  </si>
  <si>
    <t>06 전입금</t>
  </si>
  <si>
    <t xml:space="preserve">○법인전입금 </t>
  </si>
  <si>
    <t>31 사업비</t>
  </si>
  <si>
    <t>81 잡수입</t>
  </si>
  <si>
    <t>○기타운영비</t>
  </si>
  <si>
    <t>③차량소모품비</t>
  </si>
  <si>
    <t>산 출 내 역</t>
  </si>
  <si>
    <t>41과년도지출</t>
  </si>
  <si>
    <t>03 사업비</t>
  </si>
  <si>
    <t xml:space="preserve"> 01 사무비</t>
  </si>
  <si>
    <t>○사무용품</t>
  </si>
  <si>
    <t>○ 가족수당</t>
  </si>
  <si>
    <t>세 입 총 계</t>
  </si>
  <si>
    <t>○예금이자</t>
  </si>
  <si>
    <t>07 이월금</t>
  </si>
  <si>
    <t>31 보조금</t>
  </si>
  <si>
    <t>31사업비</t>
  </si>
  <si>
    <t>○퇴직적립금</t>
  </si>
  <si>
    <t>①차량유류비</t>
  </si>
  <si>
    <t>서비스제공사업</t>
  </si>
  <si>
    <t>○출장여비</t>
  </si>
  <si>
    <t>61 전입금</t>
  </si>
  <si>
    <t>○기본급</t>
  </si>
  <si>
    <t>○기관운영비</t>
  </si>
  <si>
    <t>05 상환금</t>
  </si>
  <si>
    <t>소  계</t>
  </si>
  <si>
    <t>&lt;1차추경&gt;</t>
  </si>
  <si>
    <t>○예비비</t>
  </si>
  <si>
    <t>○인터넷요금</t>
  </si>
  <si>
    <t>71이월금</t>
  </si>
  <si>
    <t>11 사업수입</t>
  </si>
  <si>
    <t>항  목</t>
  </si>
  <si>
    <t>총   계</t>
  </si>
  <si>
    <t>④차량보험료</t>
  </si>
  <si>
    <t>08 잡수입</t>
  </si>
  <si>
    <t>세출총계</t>
  </si>
  <si>
    <t>⑦협회비</t>
  </si>
  <si>
    <t>대리(선임)</t>
  </si>
  <si>
    <t>211 시설비</t>
  </si>
  <si>
    <t>②화재보험</t>
  </si>
  <si>
    <t>○지정후원금</t>
  </si>
  <si>
    <t>③신원보증보험</t>
  </si>
  <si>
    <t>⑤자동차세</t>
  </si>
  <si>
    <t>사회복지사</t>
  </si>
  <si>
    <t>○비지정후원금</t>
  </si>
  <si>
    <t>01 사업수입</t>
  </si>
  <si>
    <t>611잡지출</t>
  </si>
  <si>
    <t>136 연료비</t>
  </si>
  <si>
    <t>실비보상</t>
  </si>
  <si>
    <t>21시설비</t>
  </si>
  <si>
    <t>팀장(과장)</t>
  </si>
  <si>
    <t>차감
지급액</t>
  </si>
  <si>
    <t xml:space="preserve">○지정후원금 </t>
  </si>
  <si>
    <t xml:space="preserve">팀장(과장) </t>
  </si>
  <si>
    <t>612 법인전입금
      (후원금)</t>
  </si>
  <si>
    <t xml:space="preserve">   - 구리다솜이봉사단 "행복한 동행"</t>
  </si>
  <si>
    <t xml:space="preserve">     - 케어안심주택 (케어하우스)</t>
  </si>
  <si>
    <t>○전화요금 (유선,인터넷전화,FAX)</t>
  </si>
  <si>
    <t>○북부센터방문자 및 후원자 홍보물품 제작비</t>
  </si>
  <si>
    <t>○우편발송비(기부금영수증, 소식지 등)</t>
  </si>
  <si>
    <t>2022년 북부희망케어센터 세입예산서</t>
  </si>
  <si>
    <t xml:space="preserve">     - 별내새마을금고연계사업(나들이)</t>
  </si>
  <si>
    <t xml:space="preserve">   2022년 이자수입</t>
  </si>
  <si>
    <t>○명절휴가비(1월,9월)</t>
  </si>
  <si>
    <t>2022년 세입.세출 예산서</t>
  </si>
  <si>
    <t>○ 후원자및봉사자 회의비</t>
  </si>
  <si>
    <t>○ 후원자및자원봉사자 관리비</t>
  </si>
  <si>
    <t>2022년 북부희망케어센터 세출예산서(잡수입)</t>
  </si>
  <si>
    <t xml:space="preserve">   - 가족외식지원사업 "군싹"(군침이 싹도는)</t>
  </si>
  <si>
    <t xml:space="preserve">     - 별내새마을금고연계사업(돌봄서비스)</t>
  </si>
  <si>
    <t>2022년 북부희망케어센터 세출예산서(후원금)</t>
  </si>
  <si>
    <t>2022년 북부희망케어센터 세출예산서(총괄)</t>
  </si>
  <si>
    <t>○ 북부센터방문자 및 후원자 홍보물품 제작비</t>
  </si>
  <si>
    <r>
      <rPr>
        <sz val="9"/>
        <color rgb="FF000000"/>
        <rFont val="맑은 고딕"/>
        <family val="3"/>
        <charset val="129"/>
      </rPr>
      <t>○</t>
    </r>
    <r>
      <rPr>
        <sz val="7"/>
        <color rgb="FF000000"/>
        <rFont val="맑은 고딕"/>
        <family val="3"/>
        <charset val="129"/>
      </rPr>
      <t>잡수입(기타보증금)</t>
    </r>
  </si>
  <si>
    <t>비교증감
(B-A)</t>
  </si>
  <si>
    <t>○관협회 세미나 및 직원워크샵</t>
  </si>
  <si>
    <t xml:space="preserve">   - 부모코칭 '희망소리'</t>
  </si>
  <si>
    <t>2022년 1차 추경 예산서</t>
    <phoneticPr fontId="54" type="noConversion"/>
  </si>
  <si>
    <t>본예산
(A)</t>
    <phoneticPr fontId="54" type="noConversion"/>
  </si>
  <si>
    <t>1차 추경
(B)</t>
    <phoneticPr fontId="54" type="noConversion"/>
  </si>
  <si>
    <t>1차추경
(B)</t>
    <phoneticPr fontId="54" type="noConversion"/>
  </si>
  <si>
    <t>&lt;1차추경&gt;</t>
    <phoneticPr fontId="54" type="noConversion"/>
  </si>
  <si>
    <t>○운영위원활동수당</t>
    <phoneticPr fontId="54" type="noConversion"/>
  </si>
  <si>
    <t>○인사위원활동수당</t>
    <phoneticPr fontId="54" type="noConversion"/>
  </si>
  <si>
    <t>○도서구입비</t>
    <phoneticPr fontId="54" type="noConversion"/>
  </si>
  <si>
    <t>○직원복리후생비</t>
    <phoneticPr fontId="54" type="noConversion"/>
  </si>
  <si>
    <t xml:space="preserve">  - 센터장 (관장23호봉/2월승급)-전정수</t>
    <phoneticPr fontId="54" type="noConversion"/>
  </si>
  <si>
    <t xml:space="preserve">  - 팀장(과장/17호봉/8월승급)-김규석</t>
    <phoneticPr fontId="54" type="noConversion"/>
  </si>
  <si>
    <t xml:space="preserve">  - 팀장(과장/18호봉/8월승급)-김규석</t>
    <phoneticPr fontId="54" type="noConversion"/>
  </si>
  <si>
    <t xml:space="preserve">  - 팀장(과장/15호봉/4월승급)-김희정</t>
    <phoneticPr fontId="54" type="noConversion"/>
  </si>
  <si>
    <t xml:space="preserve">  - 팀장(과장/16호봉/4월승급)-김희정</t>
    <phoneticPr fontId="54" type="noConversion"/>
  </si>
  <si>
    <t xml:space="preserve">  - 선임사회복지사(10호봉/11월승급)-박진영</t>
    <phoneticPr fontId="54" type="noConversion"/>
  </si>
  <si>
    <t xml:space="preserve">  - 선임사회복지사(11호봉/11월승급)-박진영</t>
    <phoneticPr fontId="54" type="noConversion"/>
  </si>
  <si>
    <t xml:space="preserve">  - 선임사회복지사(8호봉/4월승급)-임원택</t>
    <phoneticPr fontId="54" type="noConversion"/>
  </si>
  <si>
    <t xml:space="preserve">  - 선임사회복지사(9호봉/4월승급)-임원택</t>
    <phoneticPr fontId="54" type="noConversion"/>
  </si>
  <si>
    <t xml:space="preserve">  - 선임사회복지사(8호봉/6월승급)-이대연</t>
    <phoneticPr fontId="54" type="noConversion"/>
  </si>
  <si>
    <t xml:space="preserve">  - 선임사회복지사(9호봉/6월승급)-이대연</t>
    <phoneticPr fontId="54" type="noConversion"/>
  </si>
  <si>
    <t xml:space="preserve">  - 사회복지사(3호봉/4월승급)-김민아</t>
    <phoneticPr fontId="54" type="noConversion"/>
  </si>
  <si>
    <t xml:space="preserve">  - 선임사회복지사(4호봉/4월승급)-김민아</t>
    <phoneticPr fontId="54" type="noConversion"/>
  </si>
  <si>
    <t xml:space="preserve">  - 사무원3급(12호봉/6월승급)-현은미</t>
    <phoneticPr fontId="54" type="noConversion"/>
  </si>
  <si>
    <t xml:space="preserve">  - 사회복지사(2호봉/3월승급)-허정윤</t>
    <phoneticPr fontId="54" type="noConversion"/>
  </si>
  <si>
    <t xml:space="preserve">  - 사무원(12호봉/6월승급)-현은미</t>
    <phoneticPr fontId="54" type="noConversion"/>
  </si>
  <si>
    <t xml:space="preserve"> - 배우자(전정수, 김규석, 김희정, 박진영, 김민아)</t>
    <phoneticPr fontId="54" type="noConversion"/>
  </si>
  <si>
    <t xml:space="preserve"> - 첫째자녀(전정수, 김규석, 김희정, 박진영)</t>
    <phoneticPr fontId="54" type="noConversion"/>
  </si>
  <si>
    <t xml:space="preserve"> - 둘째자녀(전정수, 김규석)</t>
    <phoneticPr fontId="54" type="noConversion"/>
  </si>
  <si>
    <t xml:space="preserve"> - 배우자(이대연)</t>
    <phoneticPr fontId="54" type="noConversion"/>
  </si>
  <si>
    <t>○명절휴가비(1월,9월)</t>
    <phoneticPr fontId="54" type="noConversion"/>
  </si>
  <si>
    <t xml:space="preserve"> - 부양가족(현은미1, 현은미2)</t>
    <phoneticPr fontId="54" type="noConversion"/>
  </si>
  <si>
    <t>○사무실 파티션 및 인터넷랜선 이전설치비</t>
    <phoneticPr fontId="54" type="noConversion"/>
  </si>
  <si>
    <t xml:space="preserve">  - 팀장(과장/11호봉/1월승급)-조하영</t>
    <phoneticPr fontId="54" type="noConversion"/>
  </si>
  <si>
    <t xml:space="preserve">  - 선임사회복지사(9호봉/11월승급)-안진록</t>
    <phoneticPr fontId="54" type="noConversion"/>
  </si>
  <si>
    <t xml:space="preserve">  - 선임사회복지사(10호봉/11월승급)-안진록</t>
    <phoneticPr fontId="54" type="noConversion"/>
  </si>
  <si>
    <t xml:space="preserve">  - 선임사회복지사(5호봉/3월승급)-엄슬비</t>
    <phoneticPr fontId="54" type="noConversion"/>
  </si>
  <si>
    <t xml:space="preserve">  - 선임사회복지사(6호봉/3월승급)-엄슬비</t>
    <phoneticPr fontId="54" type="noConversion"/>
  </si>
  <si>
    <t xml:space="preserve">  - 선임사회복지사(5호봉/4월승급)-이예슬</t>
    <phoneticPr fontId="54" type="noConversion"/>
  </si>
  <si>
    <t xml:space="preserve">  - 선임사회복지사(6호봉/4월승급)-이예슬</t>
    <phoneticPr fontId="54" type="noConversion"/>
  </si>
  <si>
    <t xml:space="preserve">  - 사회복지사(3호봉/3월승급)-권현수</t>
    <phoneticPr fontId="54" type="noConversion"/>
  </si>
  <si>
    <t xml:space="preserve">  - 선임사회복지사(4호봉/3월승급)-권현수</t>
    <phoneticPr fontId="54" type="noConversion"/>
  </si>
  <si>
    <t xml:space="preserve"> - 배우자(조하영, 이예슬)</t>
    <phoneticPr fontId="54" type="noConversion"/>
  </si>
  <si>
    <t xml:space="preserve"> - 부양가족(권현수)</t>
    <phoneticPr fontId="54" type="noConversion"/>
  </si>
  <si>
    <t xml:space="preserve"> - 배우자(안진록)</t>
    <phoneticPr fontId="54" type="noConversion"/>
  </si>
  <si>
    <t xml:space="preserve"> - 자녀(안진록)</t>
    <phoneticPr fontId="54" type="noConversion"/>
  </si>
  <si>
    <t xml:space="preserve">  - 센터장 (관장24호봉/2월승급)-전정수</t>
    <phoneticPr fontId="54" type="noConversion"/>
  </si>
  <si>
    <t>116 사대보험 부담금</t>
    <phoneticPr fontId="54" type="noConversion"/>
  </si>
  <si>
    <t>1대</t>
    <phoneticPr fontId="54" type="noConversion"/>
  </si>
  <si>
    <t>3대</t>
    <phoneticPr fontId="54" type="noConversion"/>
  </si>
  <si>
    <t>2대</t>
    <phoneticPr fontId="54" type="noConversion"/>
  </si>
  <si>
    <t>○도서구입비</t>
  </si>
  <si>
    <t>4권</t>
    <phoneticPr fontId="54" type="noConversion"/>
  </si>
  <si>
    <t>○사무실 파티션 및 인터넷랜선 이전설치비</t>
  </si>
  <si>
    <t>○CMS선납수수료</t>
    <phoneticPr fontId="54" type="noConversion"/>
  </si>
  <si>
    <t>○인사위원활동수당</t>
  </si>
  <si>
    <t>○직원복리후생비</t>
  </si>
  <si>
    <t>○기타운영비</t>
    <phoneticPr fontId="54" type="noConversion"/>
  </si>
  <si>
    <t>=</t>
    <phoneticPr fontId="54" type="noConversion"/>
  </si>
  <si>
    <t xml:space="preserve"> - 휘발유(3대)</t>
    <phoneticPr fontId="54" type="noConversion"/>
  </si>
  <si>
    <t>○무한돌봄센터 사회복지보조금</t>
    <phoneticPr fontId="54" type="noConversion"/>
  </si>
  <si>
    <t>①시설종합안전배상공제보험</t>
    <phoneticPr fontId="54" type="noConversion"/>
  </si>
  <si>
    <t>①차량유류비</t>
    <phoneticPr fontId="54" type="noConversion"/>
  </si>
  <si>
    <t>○사례관리 진행비</t>
    <phoneticPr fontId="54" type="noConversion"/>
  </si>
  <si>
    <t>○가사지원/밑반찬지원</t>
    <phoneticPr fontId="54" type="noConversion"/>
  </si>
  <si>
    <t>○의료지원</t>
    <phoneticPr fontId="54" type="noConversion"/>
  </si>
  <si>
    <t>○경제지원</t>
    <phoneticPr fontId="54" type="noConversion"/>
  </si>
  <si>
    <t>○주거지원</t>
    <phoneticPr fontId="54" type="noConversion"/>
  </si>
  <si>
    <t>○일상생활지원</t>
    <phoneticPr fontId="54" type="noConversion"/>
  </si>
  <si>
    <t>○통합돌봄</t>
    <phoneticPr fontId="54" type="noConversion"/>
  </si>
  <si>
    <t>○아동청소년비전사업</t>
    <phoneticPr fontId="54" type="noConversion"/>
  </si>
  <si>
    <t>○가족기능 강화 사업</t>
    <phoneticPr fontId="54" type="noConversion"/>
  </si>
  <si>
    <t>○북한이탈주민지원사업-반가워요, 우리 함께</t>
    <phoneticPr fontId="54" type="noConversion"/>
  </si>
  <si>
    <t>311지역사회보호사업</t>
    <phoneticPr fontId="54" type="noConversion"/>
  </si>
  <si>
    <t>○가족수당</t>
    <phoneticPr fontId="54" type="noConversion"/>
  </si>
  <si>
    <t>○cms선납수수료</t>
    <phoneticPr fontId="54" type="noConversion"/>
  </si>
  <si>
    <t>○복지넷연계사업</t>
    <phoneticPr fontId="54" type="noConversion"/>
  </si>
  <si>
    <t>○기타특별사업</t>
    <phoneticPr fontId="54" type="noConversion"/>
  </si>
  <si>
    <t>○마을돌봄리더 자조모임</t>
    <phoneticPr fontId="54" type="noConversion"/>
  </si>
  <si>
    <t>○예비비</t>
    <phoneticPr fontId="54" type="noConversion"/>
  </si>
  <si>
    <t>○사업비반환금</t>
    <phoneticPr fontId="54" type="noConversion"/>
  </si>
  <si>
    <t>사회복지사</t>
    <phoneticPr fontId="54" type="noConversion"/>
  </si>
  <si>
    <t>허정윤</t>
    <phoneticPr fontId="54" type="noConversion"/>
  </si>
  <si>
    <t xml:space="preserve"> - 부양가족(이대연, 임원택1, 임원택2)</t>
    <phoneticPr fontId="54" type="noConversion"/>
  </si>
  <si>
    <t>제수당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</si>
</sst>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1" formatCode="_-* #,##0_-;\-* #,##0_-;_-* &quot;-&quot;_-;_-@_-"/>
    <numFmt numFmtId="176" formatCode="#,##0_ "/>
    <numFmt numFmtId="177" formatCode="#,##0&quot;원&quot;"/>
    <numFmt numFmtId="178" formatCode="#,##0_);[Red]\(#,##0\)"/>
    <numFmt numFmtId="179" formatCode="#,##0&quot;명&quot;"/>
    <numFmt numFmtId="180" formatCode="#,##0&quot;월&quot;"/>
    <numFmt numFmtId="181" formatCode="#,##0&quot;회&quot;"/>
    <numFmt numFmtId="182" formatCode="0.000%"/>
    <numFmt numFmtId="183" formatCode="#&quot;일&quot;"/>
    <numFmt numFmtId="184" formatCode="#,##0&quot;대&quot;"/>
    <numFmt numFmtId="185" formatCode="#,##0&quot;통&quot;"/>
    <numFmt numFmtId="186" formatCode="#&quot;회&quot;"/>
    <numFmt numFmtId="187" formatCode="#,##0&quot;리터&quot;"/>
    <numFmt numFmtId="188" formatCode="#,##0&quot;일&quot;"/>
    <numFmt numFmtId="189" formatCode="#&quot;월&quot;"/>
    <numFmt numFmtId="190" formatCode="###,###"/>
    <numFmt numFmtId="191" formatCode="#,##0_ ;[Red]\-#,##0\ "/>
    <numFmt numFmtId="192" formatCode="\=#,###&quot;원&quot;"/>
    <numFmt numFmtId="193" formatCode="_-* #,##0.0_-;\-* #,##0.0_-;_-* &quot;-&quot;_-;_-@_-"/>
    <numFmt numFmtId="194" formatCode="#\ &quot;명&quot;"/>
    <numFmt numFmtId="195" formatCode="#&quot;명&quot;"/>
    <numFmt numFmtId="196" formatCode="#&quot;/1&quot;"/>
    <numFmt numFmtId="197" formatCode="#,###,###"/>
    <numFmt numFmtId="198" formatCode="#,##0&quot;팀&quot;"/>
    <numFmt numFmtId="199" formatCode="#\ &quot;회&quot;"/>
    <numFmt numFmtId="200" formatCode="##&quot;개 센터&quot;"/>
    <numFmt numFmtId="201" formatCode="#&quot;종&quot;"/>
    <numFmt numFmtId="202" formatCode="#&quot;대&quot;"/>
    <numFmt numFmtId="203" formatCode="General_)"/>
    <numFmt numFmtId="204" formatCode="##&quot;박스&quot;"/>
    <numFmt numFmtId="205" formatCode="###,###,###"/>
    <numFmt numFmtId="206" formatCode="#,###&quot;원&quot;"/>
    <numFmt numFmtId="207" formatCode="\=###,###,###"/>
    <numFmt numFmtId="208" formatCode="0_ "/>
    <numFmt numFmtId="209" formatCode="#,###"/>
    <numFmt numFmtId="210" formatCode="#,##0&quot;구좌&quot;"/>
    <numFmt numFmtId="211" formatCode="#,##0&quot;건&quot;"/>
    <numFmt numFmtId="212" formatCode="\=###,###"/>
    <numFmt numFmtId="213" formatCode="###,###,###&quot;원&quot;"/>
    <numFmt numFmtId="214" formatCode="#,##0.0_ "/>
    <numFmt numFmtId="215" formatCode="##&quot;종&quot;"/>
    <numFmt numFmtId="216" formatCode="#,##0&quot;주&quot;"/>
    <numFmt numFmtId="217" formatCode="#,##0&quot;곳&quot;"/>
    <numFmt numFmtId="218" formatCode="[&gt;=0]###,###;[&lt;0]&quot;△&quot;###,###;General"/>
    <numFmt numFmtId="219" formatCode="#,##0&quot;가구&quot;"/>
    <numFmt numFmtId="220" formatCode="#,##0&quot;개&quot;"/>
    <numFmt numFmtId="221" formatCode="#,##0&quot;종&quot;"/>
    <numFmt numFmtId="222" formatCode="#,##0&quot;가정&quot;"/>
    <numFmt numFmtId="223" formatCode="#,##0&quot;권&quot;"/>
    <numFmt numFmtId="224" formatCode="0.0000%"/>
    <numFmt numFmtId="225" formatCode="##&quot;개&quot;"/>
  </numFmts>
  <fonts count="58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2"/>
      <color rgb="FF000000"/>
      <name val="바탕체"/>
      <family val="1"/>
      <charset val="129"/>
    </font>
    <font>
      <sz val="11"/>
      <color rgb="FFFFFFFF"/>
      <name val="맑은 고딕"/>
      <family val="3"/>
      <charset val="129"/>
    </font>
    <font>
      <b/>
      <sz val="12"/>
      <color rgb="FF000000"/>
      <name val="Arial"/>
      <family val="2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24"/>
      <color rgb="FF000000"/>
      <name val="휴먼둥근헤드라인"/>
      <family val="1"/>
      <charset val="129"/>
    </font>
    <font>
      <sz val="10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6"/>
      <color rgb="FF000000"/>
      <name val="맑은 고딕"/>
      <family val="3"/>
      <charset val="129"/>
    </font>
    <font>
      <sz val="9"/>
      <color rgb="FF000000"/>
      <name val="새굴림"/>
      <family val="1"/>
      <charset val="129"/>
    </font>
    <font>
      <b/>
      <sz val="9"/>
      <color rgb="FF000000"/>
      <name val="새굴림"/>
      <family val="1"/>
      <charset val="129"/>
    </font>
    <font>
      <sz val="10"/>
      <color rgb="FF000000"/>
      <name val="돋움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HY그래픽"/>
      <family val="1"/>
      <charset val="129"/>
    </font>
    <font>
      <b/>
      <sz val="10"/>
      <color rgb="FF000000"/>
      <name val="맑은 고딕"/>
      <family val="3"/>
      <charset val="129"/>
    </font>
    <font>
      <sz val="20"/>
      <color rgb="FF000000"/>
      <name val="HY그래픽"/>
      <family val="1"/>
      <charset val="129"/>
    </font>
    <font>
      <sz val="9"/>
      <color rgb="FFFF0000"/>
      <name val="맑은 고딕"/>
      <family val="3"/>
      <charset val="129"/>
    </font>
    <font>
      <b/>
      <sz val="6"/>
      <color rgb="FF000000"/>
      <name val="맑은 고딕"/>
      <family val="3"/>
      <charset val="129"/>
    </font>
    <font>
      <b/>
      <sz val="9"/>
      <color rgb="FF604A7B"/>
      <name val="맑은 고딕"/>
      <family val="3"/>
      <charset val="129"/>
    </font>
    <font>
      <sz val="9"/>
      <color rgb="FF1F497D"/>
      <name val="맑은 고딕"/>
      <family val="3"/>
      <charset val="129"/>
    </font>
    <font>
      <b/>
      <sz val="9"/>
      <color rgb="FFFFFFFF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11"/>
      <color rgb="FF4472C4"/>
      <name val="맑은 고딕"/>
      <family val="3"/>
      <charset val="129"/>
    </font>
    <font>
      <sz val="10"/>
      <color rgb="FF000000"/>
      <name val="새굴림"/>
      <family val="1"/>
      <charset val="129"/>
    </font>
    <font>
      <sz val="9"/>
      <color rgb="FF000000"/>
      <name val="돋움"/>
      <family val="3"/>
      <charset val="129"/>
    </font>
    <font>
      <sz val="24"/>
      <color rgb="FF000000"/>
      <name val="휴먼둥근헤드라인"/>
      <family val="1"/>
      <charset val="129"/>
    </font>
    <font>
      <sz val="36"/>
      <color rgb="FF000000"/>
      <name val="HY헤드라인M"/>
      <family val="1"/>
      <charset val="129"/>
    </font>
    <font>
      <sz val="24"/>
      <color rgb="FF000000"/>
      <name val="HY헤드라인M"/>
      <family val="1"/>
      <charset val="129"/>
    </font>
    <font>
      <u/>
      <sz val="22"/>
      <color rgb="FF000000"/>
      <name val="휴먼엑스포"/>
      <family val="1"/>
      <charset val="129"/>
    </font>
    <font>
      <sz val="22"/>
      <color rgb="FF000000"/>
      <name val="휴먼엑스포"/>
      <family val="1"/>
      <charset val="129"/>
    </font>
    <font>
      <sz val="7"/>
      <color rgb="FF000000"/>
      <name val="맑은 고딕"/>
      <family val="3"/>
      <charset val="129"/>
    </font>
    <font>
      <b/>
      <sz val="9"/>
      <color rgb="FF000000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1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FFFF99"/>
      </patternFill>
    </fill>
    <fill>
      <patternFill patternType="solid">
        <fgColor rgb="FF969696"/>
      </patternFill>
    </fill>
    <fill>
      <patternFill patternType="solid">
        <fgColor rgb="FFFFEB9C"/>
      </patternFill>
    </fill>
    <fill>
      <patternFill patternType="solid">
        <fgColor rgb="FFFFFFFF"/>
      </patternFill>
    </fill>
    <fill>
      <patternFill patternType="solid">
        <fgColor rgb="FFDCE6F2"/>
      </patternFill>
    </fill>
    <fill>
      <patternFill patternType="solid">
        <fgColor rgb="FFF9BDCE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00">
    <xf numFmtId="0" fontId="0" fillId="0" borderId="0">
      <alignment vertical="center"/>
    </xf>
    <xf numFmtId="41" fontId="1" fillId="0" borderId="0">
      <alignment vertical="center"/>
    </xf>
    <xf numFmtId="41" fontId="1" fillId="0" borderId="0"/>
    <xf numFmtId="41" fontId="1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53" fillId="0" borderId="0">
      <alignment vertical="center"/>
    </xf>
    <xf numFmtId="9" fontId="1" fillId="0" borderId="0"/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/>
    <xf numFmtId="0" fontId="53" fillId="0" borderId="0">
      <alignment vertical="center"/>
    </xf>
    <xf numFmtId="9" fontId="1" fillId="0" borderId="0"/>
    <xf numFmtId="0" fontId="1" fillId="0" borderId="0"/>
    <xf numFmtId="0" fontId="2" fillId="0" borderId="0"/>
    <xf numFmtId="0" fontId="2" fillId="0" borderId="0"/>
    <xf numFmtId="0" fontId="53" fillId="2" borderId="0">
      <alignment vertical="center"/>
    </xf>
    <xf numFmtId="0" fontId="53" fillId="2" borderId="0">
      <alignment vertical="center"/>
    </xf>
    <xf numFmtId="0" fontId="53" fillId="3" borderId="0">
      <alignment vertical="center"/>
    </xf>
    <xf numFmtId="0" fontId="53" fillId="3" borderId="0">
      <alignment vertical="center"/>
    </xf>
    <xf numFmtId="0" fontId="53" fillId="4" borderId="0">
      <alignment vertical="center"/>
    </xf>
    <xf numFmtId="0" fontId="53" fillId="4" borderId="0">
      <alignment vertical="center"/>
    </xf>
    <xf numFmtId="0" fontId="53" fillId="5" borderId="0">
      <alignment vertical="center"/>
    </xf>
    <xf numFmtId="0" fontId="53" fillId="5" borderId="0">
      <alignment vertical="center"/>
    </xf>
    <xf numFmtId="0" fontId="53" fillId="6" borderId="0">
      <alignment vertical="center"/>
    </xf>
    <xf numFmtId="0" fontId="53" fillId="6" borderId="0">
      <alignment vertical="center"/>
    </xf>
    <xf numFmtId="0" fontId="53" fillId="7" borderId="0">
      <alignment vertical="center"/>
    </xf>
    <xf numFmtId="0" fontId="53" fillId="7" borderId="0">
      <alignment vertical="center"/>
    </xf>
    <xf numFmtId="0" fontId="53" fillId="8" borderId="0">
      <alignment vertical="center"/>
    </xf>
    <xf numFmtId="0" fontId="53" fillId="8" borderId="0">
      <alignment vertical="center"/>
    </xf>
    <xf numFmtId="0" fontId="53" fillId="9" borderId="0">
      <alignment vertical="center"/>
    </xf>
    <xf numFmtId="0" fontId="53" fillId="9" borderId="0">
      <alignment vertical="center"/>
    </xf>
    <xf numFmtId="0" fontId="53" fillId="10" borderId="0">
      <alignment vertical="center"/>
    </xf>
    <xf numFmtId="0" fontId="53" fillId="10" borderId="0">
      <alignment vertical="center"/>
    </xf>
    <xf numFmtId="0" fontId="53" fillId="5" borderId="0">
      <alignment vertical="center"/>
    </xf>
    <xf numFmtId="0" fontId="53" fillId="5" borderId="0">
      <alignment vertical="center"/>
    </xf>
    <xf numFmtId="0" fontId="53" fillId="8" borderId="0">
      <alignment vertical="center"/>
    </xf>
    <xf numFmtId="0" fontId="53" fillId="8" borderId="0">
      <alignment vertical="center"/>
    </xf>
    <xf numFmtId="0" fontId="53" fillId="11" borderId="0">
      <alignment vertical="center"/>
    </xf>
    <xf numFmtId="0" fontId="53" fillId="11" borderId="0">
      <alignment vertical="center"/>
    </xf>
    <xf numFmtId="0" fontId="3" fillId="12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5" borderId="0">
      <alignment vertical="center"/>
    </xf>
    <xf numFmtId="0" fontId="4" fillId="0" borderId="1">
      <alignment horizontal="left" vertical="center"/>
    </xf>
    <xf numFmtId="0" fontId="4" fillId="0" borderId="2">
      <alignment horizontal="left" vertical="center"/>
    </xf>
    <xf numFmtId="0" fontId="3" fillId="16" borderId="0">
      <alignment vertical="center"/>
    </xf>
    <xf numFmtId="0" fontId="3" fillId="17" borderId="0">
      <alignment vertical="center"/>
    </xf>
    <xf numFmtId="0" fontId="3" fillId="18" borderId="0">
      <alignment vertical="center"/>
    </xf>
    <xf numFmtId="0" fontId="3" fillId="13" borderId="0">
      <alignment vertical="center"/>
    </xf>
    <xf numFmtId="0" fontId="3" fillId="14" borderId="0">
      <alignment vertical="center"/>
    </xf>
    <xf numFmtId="0" fontId="3" fillId="19" borderId="0">
      <alignment vertical="center"/>
    </xf>
    <xf numFmtId="0" fontId="5" fillId="0" borderId="0">
      <alignment vertical="center"/>
    </xf>
    <xf numFmtId="0" fontId="6" fillId="20" borderId="3">
      <alignment vertical="center"/>
    </xf>
    <xf numFmtId="0" fontId="7" fillId="3" borderId="0">
      <alignment vertical="center"/>
    </xf>
    <xf numFmtId="0" fontId="1" fillId="21" borderId="4">
      <alignment vertical="center"/>
    </xf>
    <xf numFmtId="9" fontId="1" fillId="0" borderId="0">
      <alignment vertical="center"/>
    </xf>
    <xf numFmtId="9" fontId="53" fillId="0" borderId="0">
      <alignment vertical="center"/>
    </xf>
    <xf numFmtId="9" fontId="53" fillId="0" borderId="0">
      <alignment vertical="center"/>
    </xf>
    <xf numFmtId="9" fontId="53" fillId="0" borderId="0">
      <alignment vertical="center"/>
    </xf>
    <xf numFmtId="9" fontId="1" fillId="0" borderId="0"/>
    <xf numFmtId="0" fontId="8" fillId="22" borderId="0">
      <alignment vertical="center"/>
    </xf>
    <xf numFmtId="0" fontId="9" fillId="0" borderId="0">
      <alignment vertical="center"/>
    </xf>
    <xf numFmtId="0" fontId="10" fillId="23" borderId="5">
      <alignment vertical="center"/>
    </xf>
    <xf numFmtId="41" fontId="1" fillId="0" borderId="0"/>
    <xf numFmtId="41" fontId="1" fillId="0" borderId="0"/>
    <xf numFmtId="41" fontId="53" fillId="0" borderId="0">
      <alignment vertical="center"/>
    </xf>
    <xf numFmtId="41" fontId="1" fillId="0" borderId="0">
      <alignment vertical="center"/>
    </xf>
    <xf numFmtId="41" fontId="53" fillId="0" borderId="0">
      <alignment vertical="center"/>
    </xf>
    <xf numFmtId="41" fontId="53" fillId="0" borderId="0">
      <alignment vertical="center"/>
    </xf>
    <xf numFmtId="41" fontId="53" fillId="0" borderId="0">
      <alignment vertical="center"/>
    </xf>
    <xf numFmtId="41" fontId="1" fillId="0" borderId="0"/>
    <xf numFmtId="41" fontId="53" fillId="0" borderId="0">
      <alignment vertical="center"/>
    </xf>
    <xf numFmtId="41" fontId="53" fillId="0" borderId="0">
      <alignment vertical="center"/>
    </xf>
    <xf numFmtId="41" fontId="53" fillId="0" borderId="0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3" fillId="7" borderId="3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4" borderId="0">
      <alignment vertical="center"/>
    </xf>
    <xf numFmtId="0" fontId="19" fillId="20" borderId="11">
      <alignment vertical="center"/>
    </xf>
    <xf numFmtId="203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/>
    <xf numFmtId="41" fontId="1" fillId="0" borderId="0">
      <alignment vertical="center"/>
    </xf>
    <xf numFmtId="41" fontId="1" fillId="0" borderId="0"/>
    <xf numFmtId="0" fontId="5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3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20" fillId="24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41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3" fillId="0" borderId="0">
      <alignment vertical="center"/>
    </xf>
    <xf numFmtId="0" fontId="53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41" fontId="53" fillId="0" borderId="0">
      <alignment vertical="center"/>
    </xf>
    <xf numFmtId="41" fontId="53" fillId="0" borderId="0">
      <alignment vertical="center"/>
    </xf>
    <xf numFmtId="0" fontId="53" fillId="0" borderId="0">
      <alignment vertical="center"/>
    </xf>
    <xf numFmtId="41" fontId="53" fillId="0" borderId="0">
      <alignment vertical="center"/>
    </xf>
    <xf numFmtId="0" fontId="53" fillId="0" borderId="0">
      <alignment vertical="center"/>
    </xf>
    <xf numFmtId="41" fontId="53" fillId="0" borderId="0">
      <alignment vertical="center"/>
    </xf>
    <xf numFmtId="0" fontId="53" fillId="0" borderId="0">
      <alignment vertical="center"/>
    </xf>
    <xf numFmtId="41" fontId="53" fillId="0" borderId="0">
      <alignment vertical="center"/>
    </xf>
    <xf numFmtId="0" fontId="53" fillId="0" borderId="0">
      <alignment vertical="center"/>
    </xf>
    <xf numFmtId="41" fontId="53" fillId="0" borderId="0">
      <alignment vertical="center"/>
    </xf>
    <xf numFmtId="41" fontId="53" fillId="0" borderId="0">
      <alignment vertical="center"/>
    </xf>
    <xf numFmtId="0" fontId="1" fillId="0" borderId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3" fillId="0" borderId="0">
      <alignment vertical="center"/>
    </xf>
    <xf numFmtId="0" fontId="53" fillId="0" borderId="0">
      <alignment vertical="center"/>
    </xf>
    <xf numFmtId="41" fontId="53" fillId="0" borderId="0">
      <alignment vertical="center"/>
    </xf>
  </cellStyleXfs>
  <cellXfs count="1692">
    <xf numFmtId="0" fontId="0" fillId="0" borderId="0" xfId="0" applyNumberFormat="1">
      <alignment vertical="center"/>
    </xf>
    <xf numFmtId="177" fontId="21" fillId="0" borderId="2" xfId="165" applyNumberFormat="1" applyFont="1" applyFill="1" applyBorder="1" applyAlignment="1">
      <alignment horizontal="right" vertical="center"/>
    </xf>
    <xf numFmtId="196" fontId="21" fillId="0" borderId="2" xfId="165" applyNumberFormat="1" applyFont="1" applyFill="1" applyBorder="1" applyAlignment="1">
      <alignment horizontal="right" vertical="center"/>
    </xf>
    <xf numFmtId="0" fontId="1" fillId="0" borderId="0" xfId="263" applyNumberFormat="1">
      <alignment vertical="center"/>
    </xf>
    <xf numFmtId="0" fontId="23" fillId="0" borderId="12" xfId="10" applyNumberFormat="1" applyFont="1" applyFill="1" applyBorder="1" applyAlignment="1">
      <alignment horizontal="left" vertical="center"/>
    </xf>
    <xf numFmtId="0" fontId="0" fillId="0" borderId="0" xfId="10" applyNumberFormat="1" applyFont="1" applyAlignment="1">
      <alignment vertical="center"/>
    </xf>
    <xf numFmtId="0" fontId="23" fillId="0" borderId="0" xfId="10" applyNumberFormat="1" applyFont="1" applyAlignment="1">
      <alignment vertical="center"/>
    </xf>
    <xf numFmtId="41" fontId="23" fillId="0" borderId="0" xfId="9" applyNumberFormat="1" applyFont="1" applyAlignment="1">
      <alignment horizontal="center" vertical="center"/>
    </xf>
    <xf numFmtId="177" fontId="23" fillId="0" borderId="0" xfId="10" applyNumberFormat="1" applyFont="1" applyAlignment="1">
      <alignment vertical="center"/>
    </xf>
    <xf numFmtId="177" fontId="0" fillId="0" borderId="0" xfId="10" applyNumberFormat="1" applyFont="1" applyAlignment="1">
      <alignment horizontal="center" vertical="center"/>
    </xf>
    <xf numFmtId="9" fontId="0" fillId="0" borderId="0" xfId="10" applyNumberFormat="1" applyFont="1" applyAlignment="1">
      <alignment vertical="center"/>
    </xf>
    <xf numFmtId="190" fontId="23" fillId="0" borderId="12" xfId="10" applyNumberFormat="1" applyFont="1" applyFill="1" applyBorder="1" applyAlignment="1">
      <alignment horizontal="right" vertical="center"/>
    </xf>
    <xf numFmtId="41" fontId="24" fillId="25" borderId="13" xfId="9" applyNumberFormat="1" applyFont="1" applyFill="1" applyBorder="1" applyAlignment="1">
      <alignment horizontal="center" vertical="center"/>
    </xf>
    <xf numFmtId="41" fontId="24" fillId="25" borderId="14" xfId="9" applyNumberFormat="1" applyFont="1" applyFill="1" applyBorder="1" applyAlignment="1">
      <alignment horizontal="center" vertical="center"/>
    </xf>
    <xf numFmtId="0" fontId="24" fillId="25" borderId="15" xfId="10" applyNumberFormat="1" applyFont="1" applyFill="1" applyBorder="1" applyAlignment="1">
      <alignment horizontal="left" vertical="center" shrinkToFit="1"/>
    </xf>
    <xf numFmtId="41" fontId="24" fillId="25" borderId="16" xfId="9" applyNumberFormat="1" applyFont="1" applyFill="1" applyBorder="1" applyAlignment="1">
      <alignment horizontal="center" vertical="center"/>
    </xf>
    <xf numFmtId="0" fontId="24" fillId="25" borderId="15" xfId="10" applyNumberFormat="1" applyFont="1" applyFill="1" applyBorder="1" applyAlignment="1">
      <alignment vertical="center" shrinkToFit="1"/>
    </xf>
    <xf numFmtId="41" fontId="24" fillId="25" borderId="17" xfId="9" applyNumberFormat="1" applyFont="1" applyFill="1" applyBorder="1" applyAlignment="1">
      <alignment horizontal="center" vertical="center"/>
    </xf>
    <xf numFmtId="0" fontId="21" fillId="25" borderId="18" xfId="10" applyNumberFormat="1" applyFont="1" applyFill="1" applyBorder="1" applyAlignment="1">
      <alignment horizontal="left" vertical="center" shrinkToFit="1"/>
    </xf>
    <xf numFmtId="0" fontId="21" fillId="25" borderId="16" xfId="10" applyNumberFormat="1" applyFont="1" applyFill="1" applyBorder="1" applyAlignment="1">
      <alignment horizontal="center" vertical="center" shrinkToFit="1"/>
    </xf>
    <xf numFmtId="0" fontId="21" fillId="25" borderId="19" xfId="10" applyNumberFormat="1" applyFont="1" applyFill="1" applyBorder="1" applyAlignment="1">
      <alignment horizontal="center" vertical="center"/>
    </xf>
    <xf numFmtId="0" fontId="21" fillId="25" borderId="20" xfId="10" applyNumberFormat="1" applyFont="1" applyFill="1" applyBorder="1" applyAlignment="1">
      <alignment vertical="center" shrinkToFit="1"/>
    </xf>
    <xf numFmtId="0" fontId="21" fillId="25" borderId="19" xfId="10" applyNumberFormat="1" applyFont="1" applyFill="1" applyBorder="1" applyAlignment="1">
      <alignment vertical="center" shrinkToFit="1"/>
    </xf>
    <xf numFmtId="41" fontId="21" fillId="25" borderId="17" xfId="9" applyNumberFormat="1" applyFont="1" applyFill="1" applyBorder="1">
      <alignment vertical="center"/>
    </xf>
    <xf numFmtId="0" fontId="24" fillId="25" borderId="16" xfId="10" applyNumberFormat="1" applyFont="1" applyFill="1" applyBorder="1" applyAlignment="1">
      <alignment horizontal="center" vertical="center" shrinkToFit="1"/>
    </xf>
    <xf numFmtId="0" fontId="25" fillId="25" borderId="16" xfId="10" applyNumberFormat="1" applyFont="1" applyFill="1" applyBorder="1" applyAlignment="1">
      <alignment horizontal="left" vertical="center" shrinkToFit="1"/>
    </xf>
    <xf numFmtId="0" fontId="24" fillId="25" borderId="21" xfId="10" applyNumberFormat="1" applyFont="1" applyFill="1" applyBorder="1" applyAlignment="1">
      <alignment horizontal="center" vertical="center" shrinkToFit="1"/>
    </xf>
    <xf numFmtId="0" fontId="21" fillId="25" borderId="22" xfId="10" applyNumberFormat="1" applyFont="1" applyFill="1" applyBorder="1" applyAlignment="1">
      <alignment horizontal="left" vertical="center" shrinkToFit="1"/>
    </xf>
    <xf numFmtId="0" fontId="25" fillId="25" borderId="19" xfId="10" applyNumberFormat="1" applyFont="1" applyFill="1" applyBorder="1" applyAlignment="1">
      <alignment horizontal="left" vertical="center" shrinkToFit="1"/>
    </xf>
    <xf numFmtId="0" fontId="24" fillId="25" borderId="18" xfId="10" applyNumberFormat="1" applyFont="1" applyFill="1" applyBorder="1" applyAlignment="1">
      <alignment horizontal="left" vertical="center" shrinkToFit="1"/>
    </xf>
    <xf numFmtId="0" fontId="21" fillId="25" borderId="23" xfId="10" applyNumberFormat="1" applyFont="1" applyFill="1" applyBorder="1" applyAlignment="1">
      <alignment horizontal="left" vertical="center" shrinkToFit="1"/>
    </xf>
    <xf numFmtId="41" fontId="21" fillId="25" borderId="17" xfId="9" applyNumberFormat="1" applyFont="1" applyFill="1" applyBorder="1" applyAlignment="1">
      <alignment horizontal="center" vertical="center"/>
    </xf>
    <xf numFmtId="0" fontId="21" fillId="25" borderId="23" xfId="10" applyNumberFormat="1" applyFont="1" applyFill="1" applyBorder="1" applyAlignment="1">
      <alignment horizontal="left" vertical="center"/>
    </xf>
    <xf numFmtId="41" fontId="21" fillId="0" borderId="17" xfId="9" applyNumberFormat="1" applyFont="1" applyFill="1" applyBorder="1">
      <alignment vertical="center"/>
    </xf>
    <xf numFmtId="41" fontId="21" fillId="25" borderId="17" xfId="9" applyNumberFormat="1" applyFont="1" applyFill="1" applyBorder="1" applyAlignment="1">
      <alignment horizontal="right" vertical="center"/>
    </xf>
    <xf numFmtId="41" fontId="24" fillId="25" borderId="19" xfId="9" applyNumberFormat="1" applyFont="1" applyFill="1" applyBorder="1" applyAlignment="1">
      <alignment horizontal="center" vertical="center"/>
    </xf>
    <xf numFmtId="0" fontId="21" fillId="25" borderId="16" xfId="10" applyNumberFormat="1" applyFont="1" applyFill="1" applyBorder="1" applyAlignment="1">
      <alignment horizontal="left" vertical="center"/>
    </xf>
    <xf numFmtId="0" fontId="25" fillId="25" borderId="19" xfId="10" applyNumberFormat="1" applyFont="1" applyFill="1" applyBorder="1" applyAlignment="1">
      <alignment horizontal="left" vertical="center"/>
    </xf>
    <xf numFmtId="0" fontId="21" fillId="25" borderId="20" xfId="10" applyNumberFormat="1" applyFont="1" applyFill="1" applyBorder="1" applyAlignment="1">
      <alignment horizontal="left" vertical="center" shrinkToFit="1"/>
    </xf>
    <xf numFmtId="0" fontId="21" fillId="25" borderId="21" xfId="10" applyNumberFormat="1" applyFont="1" applyFill="1" applyBorder="1" applyAlignment="1">
      <alignment horizontal="left" vertical="center" shrinkToFit="1"/>
    </xf>
    <xf numFmtId="0" fontId="21" fillId="25" borderId="22" xfId="10" applyNumberFormat="1" applyFont="1" applyFill="1" applyBorder="1" applyAlignment="1">
      <alignment vertical="center" shrinkToFit="1"/>
    </xf>
    <xf numFmtId="0" fontId="21" fillId="25" borderId="23" xfId="10" applyNumberFormat="1" applyFont="1" applyFill="1" applyBorder="1" applyAlignment="1">
      <alignment vertical="center" shrinkToFit="1"/>
    </xf>
    <xf numFmtId="0" fontId="25" fillId="25" borderId="19" xfId="10" applyNumberFormat="1" applyFont="1" applyFill="1" applyBorder="1" applyAlignment="1">
      <alignment vertical="center" shrinkToFit="1"/>
    </xf>
    <xf numFmtId="41" fontId="21" fillId="0" borderId="19" xfId="9" applyNumberFormat="1" applyFont="1" applyFill="1" applyBorder="1">
      <alignment vertical="center"/>
    </xf>
    <xf numFmtId="41" fontId="21" fillId="0" borderId="17" xfId="9" applyNumberFormat="1" applyFont="1" applyFill="1" applyBorder="1" applyAlignment="1">
      <alignment horizontal="right" vertical="center"/>
    </xf>
    <xf numFmtId="0" fontId="21" fillId="25" borderId="16" xfId="10" applyNumberFormat="1" applyFont="1" applyFill="1" applyBorder="1" applyAlignment="1">
      <alignment vertical="center" shrinkToFit="1"/>
    </xf>
    <xf numFmtId="0" fontId="21" fillId="0" borderId="19" xfId="10" applyNumberFormat="1" applyFont="1" applyFill="1" applyBorder="1" applyAlignment="1">
      <alignment vertical="center" shrinkToFit="1"/>
    </xf>
    <xf numFmtId="0" fontId="21" fillId="0" borderId="22" xfId="10" applyNumberFormat="1" applyFont="1" applyFill="1" applyBorder="1" applyAlignment="1">
      <alignment horizontal="center" vertical="center"/>
    </xf>
    <xf numFmtId="0" fontId="25" fillId="0" borderId="19" xfId="10" applyNumberFormat="1" applyFont="1" applyFill="1" applyBorder="1" applyAlignment="1">
      <alignment vertical="center"/>
    </xf>
    <xf numFmtId="0" fontId="21" fillId="25" borderId="19" xfId="10" applyNumberFormat="1" applyFont="1" applyFill="1" applyBorder="1" applyAlignment="1">
      <alignment horizontal="center" vertical="center" shrinkToFit="1"/>
    </xf>
    <xf numFmtId="0" fontId="21" fillId="0" borderId="23" xfId="10" applyNumberFormat="1" applyFont="1" applyFill="1" applyBorder="1" applyAlignment="1">
      <alignment horizontal="center" vertical="center"/>
    </xf>
    <xf numFmtId="0" fontId="25" fillId="0" borderId="19" xfId="10" applyNumberFormat="1" applyFont="1" applyFill="1" applyBorder="1" applyAlignment="1">
      <alignment vertical="center" shrinkToFit="1"/>
    </xf>
    <xf numFmtId="0" fontId="21" fillId="25" borderId="21" xfId="10" applyNumberFormat="1" applyFont="1" applyFill="1" applyBorder="1" applyAlignment="1">
      <alignment horizontal="left" vertical="center"/>
    </xf>
    <xf numFmtId="0" fontId="21" fillId="25" borderId="22" xfId="10" applyNumberFormat="1" applyFont="1" applyFill="1" applyBorder="1" applyAlignment="1">
      <alignment horizontal="center" vertical="center"/>
    </xf>
    <xf numFmtId="0" fontId="21" fillId="25" borderId="18" xfId="10" applyNumberFormat="1" applyFont="1" applyFill="1" applyBorder="1" applyAlignment="1">
      <alignment horizontal="left" vertical="center"/>
    </xf>
    <xf numFmtId="0" fontId="21" fillId="25" borderId="16" xfId="10" applyNumberFormat="1" applyFont="1" applyFill="1" applyBorder="1" applyAlignment="1">
      <alignment horizontal="center" vertical="center"/>
    </xf>
    <xf numFmtId="0" fontId="24" fillId="25" borderId="18" xfId="10" applyNumberFormat="1" applyFont="1" applyFill="1" applyBorder="1" applyAlignment="1">
      <alignment horizontal="left" vertical="center"/>
    </xf>
    <xf numFmtId="0" fontId="25" fillId="0" borderId="22" xfId="10" applyNumberFormat="1" applyFont="1" applyFill="1" applyBorder="1" applyAlignment="1">
      <alignment vertical="center"/>
    </xf>
    <xf numFmtId="41" fontId="21" fillId="0" borderId="24" xfId="9" applyNumberFormat="1" applyFont="1" applyFill="1" applyBorder="1">
      <alignment vertical="center"/>
    </xf>
    <xf numFmtId="0" fontId="21" fillId="25" borderId="23" xfId="10" applyNumberFormat="1" applyFont="1" applyFill="1" applyBorder="1" applyAlignment="1">
      <alignment horizontal="center" vertical="center"/>
    </xf>
    <xf numFmtId="0" fontId="26" fillId="25" borderId="15" xfId="10" applyNumberFormat="1" applyFont="1" applyFill="1" applyBorder="1" applyAlignment="1">
      <alignment vertical="center"/>
    </xf>
    <xf numFmtId="41" fontId="24" fillId="25" borderId="25" xfId="9" applyNumberFormat="1" applyFont="1" applyFill="1" applyBorder="1">
      <alignment vertical="center"/>
    </xf>
    <xf numFmtId="0" fontId="24" fillId="25" borderId="15" xfId="10" applyNumberFormat="1" applyFont="1" applyFill="1" applyBorder="1" applyAlignment="1">
      <alignment horizontal="left" vertical="center"/>
    </xf>
    <xf numFmtId="41" fontId="24" fillId="25" borderId="19" xfId="9" applyNumberFormat="1" applyFont="1" applyFill="1" applyBorder="1">
      <alignment vertical="center"/>
    </xf>
    <xf numFmtId="0" fontId="21" fillId="25" borderId="22" xfId="10" applyNumberFormat="1" applyFont="1" applyFill="1" applyBorder="1" applyAlignment="1">
      <alignment horizontal="left" vertical="center"/>
    </xf>
    <xf numFmtId="41" fontId="21" fillId="25" borderId="24" xfId="9" applyNumberFormat="1" applyFont="1" applyFill="1" applyBorder="1">
      <alignment vertical="center"/>
    </xf>
    <xf numFmtId="0" fontId="21" fillId="25" borderId="20" xfId="10" applyNumberFormat="1" applyFont="1" applyFill="1" applyBorder="1" applyAlignment="1">
      <alignment horizontal="left" vertical="center"/>
    </xf>
    <xf numFmtId="0" fontId="21" fillId="25" borderId="19" xfId="10" applyNumberFormat="1" applyFont="1" applyFill="1" applyBorder="1" applyAlignment="1">
      <alignment horizontal="left" vertical="center"/>
    </xf>
    <xf numFmtId="0" fontId="25" fillId="25" borderId="16" xfId="10" applyNumberFormat="1" applyFont="1" applyFill="1" applyBorder="1" applyAlignment="1">
      <alignment horizontal="left" vertical="center"/>
    </xf>
    <xf numFmtId="0" fontId="25" fillId="25" borderId="22" xfId="10" applyNumberFormat="1" applyFont="1" applyFill="1" applyBorder="1" applyAlignment="1">
      <alignment horizontal="left" vertical="center"/>
    </xf>
    <xf numFmtId="0" fontId="25" fillId="25" borderId="23" xfId="10" applyNumberFormat="1" applyFont="1" applyFill="1" applyBorder="1" applyAlignment="1">
      <alignment horizontal="left" vertical="center"/>
    </xf>
    <xf numFmtId="0" fontId="25" fillId="25" borderId="19" xfId="10" applyNumberFormat="1" applyFont="1" applyFill="1" applyBorder="1" applyAlignment="1">
      <alignment horizontal="left" vertical="center" wrapText="1"/>
    </xf>
    <xf numFmtId="0" fontId="21" fillId="25" borderId="18" xfId="10" applyNumberFormat="1" applyFont="1" applyFill="1" applyBorder="1" applyAlignment="1">
      <alignment vertical="center"/>
    </xf>
    <xf numFmtId="0" fontId="21" fillId="25" borderId="25" xfId="10" applyNumberFormat="1" applyFont="1" applyFill="1" applyBorder="1" applyAlignment="1">
      <alignment horizontal="center" vertical="center" shrinkToFit="1"/>
    </xf>
    <xf numFmtId="0" fontId="24" fillId="25" borderId="15" xfId="10" applyNumberFormat="1" applyFont="1" applyFill="1" applyBorder="1" applyAlignment="1">
      <alignment vertical="center"/>
    </xf>
    <xf numFmtId="41" fontId="24" fillId="25" borderId="17" xfId="9" applyNumberFormat="1" applyFont="1" applyFill="1" applyBorder="1">
      <alignment vertical="center"/>
    </xf>
    <xf numFmtId="0" fontId="21" fillId="25" borderId="20" xfId="10" applyNumberFormat="1" applyFont="1" applyFill="1" applyBorder="1" applyAlignment="1">
      <alignment vertical="center"/>
    </xf>
    <xf numFmtId="0" fontId="21" fillId="25" borderId="21" xfId="10" applyNumberFormat="1" applyFont="1" applyFill="1" applyBorder="1" applyAlignment="1">
      <alignment vertical="center"/>
    </xf>
    <xf numFmtId="41" fontId="21" fillId="0" borderId="23" xfId="9" applyNumberFormat="1" applyFont="1" applyFill="1" applyBorder="1">
      <alignment vertical="center"/>
    </xf>
    <xf numFmtId="41" fontId="21" fillId="0" borderId="22" xfId="9" applyNumberFormat="1" applyFont="1" applyFill="1" applyBorder="1">
      <alignment vertical="center"/>
    </xf>
    <xf numFmtId="41" fontId="21" fillId="25" borderId="22" xfId="9" quotePrefix="1" applyNumberFormat="1" applyFont="1" applyFill="1" applyBorder="1" applyAlignment="1">
      <alignment horizontal="right" vertical="center"/>
    </xf>
    <xf numFmtId="0" fontId="25" fillId="25" borderId="22" xfId="10" applyNumberFormat="1" applyFont="1" applyFill="1" applyBorder="1" applyAlignment="1">
      <alignment horizontal="left" vertical="center" shrinkToFit="1"/>
    </xf>
    <xf numFmtId="0" fontId="21" fillId="25" borderId="21" xfId="10" applyNumberFormat="1" applyFont="1" applyFill="1" applyBorder="1" applyAlignment="1">
      <alignment horizontal="left" vertical="center" wrapText="1"/>
    </xf>
    <xf numFmtId="0" fontId="21" fillId="25" borderId="23" xfId="10" applyNumberFormat="1" applyFont="1" applyFill="1" applyBorder="1" applyAlignment="1">
      <alignment horizontal="left" vertical="center" wrapText="1"/>
    </xf>
    <xf numFmtId="0" fontId="21" fillId="25" borderId="27" xfId="10" applyNumberFormat="1" applyFont="1" applyFill="1" applyBorder="1" applyAlignment="1">
      <alignment horizontal="left" vertical="center" wrapText="1"/>
    </xf>
    <xf numFmtId="0" fontId="21" fillId="25" borderId="28" xfId="10" applyNumberFormat="1" applyFont="1" applyFill="1" applyBorder="1" applyAlignment="1">
      <alignment horizontal="left" vertical="center" wrapText="1"/>
    </xf>
    <xf numFmtId="0" fontId="25" fillId="25" borderId="29" xfId="10" applyNumberFormat="1" applyFont="1" applyFill="1" applyBorder="1" applyAlignment="1">
      <alignment horizontal="left" vertical="center" wrapText="1"/>
    </xf>
    <xf numFmtId="41" fontId="21" fillId="25" borderId="29" xfId="9" quotePrefix="1" applyNumberFormat="1" applyFont="1" applyFill="1" applyBorder="1" applyAlignment="1">
      <alignment horizontal="right" vertical="center"/>
    </xf>
    <xf numFmtId="41" fontId="21" fillId="25" borderId="29" xfId="9" applyNumberFormat="1" applyFont="1" applyFill="1" applyBorder="1" applyAlignment="1">
      <alignment horizontal="right" vertical="center"/>
    </xf>
    <xf numFmtId="0" fontId="21" fillId="25" borderId="0" xfId="10" applyNumberFormat="1" applyFont="1" applyFill="1" applyBorder="1" applyAlignment="1">
      <alignment horizontal="left" vertical="center" wrapText="1"/>
    </xf>
    <xf numFmtId="0" fontId="25" fillId="25" borderId="0" xfId="10" applyNumberFormat="1" applyFont="1" applyFill="1" applyBorder="1" applyAlignment="1">
      <alignment horizontal="left" vertical="center" wrapText="1"/>
    </xf>
    <xf numFmtId="41" fontId="21" fillId="25" borderId="0" xfId="9" quotePrefix="1" applyNumberFormat="1" applyFont="1" applyFill="1" applyBorder="1" applyAlignment="1">
      <alignment horizontal="right" vertical="center"/>
    </xf>
    <xf numFmtId="41" fontId="21" fillId="25" borderId="0" xfId="9" applyNumberFormat="1" applyFont="1" applyFill="1" applyBorder="1" applyAlignment="1">
      <alignment horizontal="center" vertical="center"/>
    </xf>
    <xf numFmtId="0" fontId="21" fillId="25" borderId="19" xfId="10" applyNumberFormat="1" applyFont="1" applyFill="1" applyBorder="1" applyAlignment="1">
      <alignment horizontal="left" vertical="center" shrinkToFit="1"/>
    </xf>
    <xf numFmtId="0" fontId="21" fillId="25" borderId="0" xfId="10" applyNumberFormat="1" applyFont="1" applyFill="1" applyBorder="1" applyAlignment="1">
      <alignment horizontal="center" vertical="center"/>
    </xf>
    <xf numFmtId="41" fontId="21" fillId="25" borderId="0" xfId="9" applyNumberFormat="1" applyFont="1" applyFill="1" applyBorder="1">
      <alignment vertical="center"/>
    </xf>
    <xf numFmtId="0" fontId="21" fillId="25" borderId="27" xfId="10" applyNumberFormat="1" applyFont="1" applyFill="1" applyBorder="1" applyAlignment="1">
      <alignment vertical="center"/>
    </xf>
    <xf numFmtId="0" fontId="21" fillId="25" borderId="28" xfId="10" applyNumberFormat="1" applyFont="1" applyFill="1" applyBorder="1" applyAlignment="1">
      <alignment horizontal="left" vertical="center"/>
    </xf>
    <xf numFmtId="0" fontId="25" fillId="25" borderId="29" xfId="10" applyNumberFormat="1" applyFont="1" applyFill="1" applyBorder="1" applyAlignment="1">
      <alignment horizontal="left" vertical="center"/>
    </xf>
    <xf numFmtId="41" fontId="21" fillId="25" borderId="30" xfId="9" applyNumberFormat="1" applyFont="1" applyFill="1" applyBorder="1">
      <alignment vertical="center"/>
    </xf>
    <xf numFmtId="41" fontId="27" fillId="25" borderId="12" xfId="9" applyNumberFormat="1" applyFont="1" applyFill="1" applyBorder="1" applyAlignment="1">
      <alignment horizontal="center" vertical="center"/>
    </xf>
    <xf numFmtId="41" fontId="28" fillId="25" borderId="12" xfId="9" applyNumberFormat="1" applyFont="1" applyFill="1" applyBorder="1" applyAlignment="1">
      <alignment horizontal="center" vertical="center"/>
    </xf>
    <xf numFmtId="178" fontId="21" fillId="25" borderId="0" xfId="289" applyNumberFormat="1" applyFont="1" applyFill="1" applyBorder="1" applyAlignment="1">
      <alignment horizontal="center" vertical="center" shrinkToFit="1"/>
    </xf>
    <xf numFmtId="41" fontId="0" fillId="0" borderId="0" xfId="0" applyNumberFormat="1">
      <alignment vertical="center"/>
    </xf>
    <xf numFmtId="0" fontId="21" fillId="0" borderId="0" xfId="11" applyNumberFormat="1" applyFont="1" applyFill="1" applyBorder="1" applyAlignment="1">
      <alignment horizontal="left" vertical="center"/>
    </xf>
    <xf numFmtId="189" fontId="21" fillId="25" borderId="0" xfId="163" applyNumberFormat="1" applyFont="1" applyFill="1" applyBorder="1" applyAlignment="1">
      <alignment horizontal="center" vertical="center"/>
    </xf>
    <xf numFmtId="186" fontId="21" fillId="25" borderId="0" xfId="163" applyNumberFormat="1" applyFont="1" applyFill="1" applyBorder="1">
      <alignment vertical="center"/>
    </xf>
    <xf numFmtId="178" fontId="21" fillId="25" borderId="31" xfId="289" applyNumberFormat="1" applyFont="1" applyFill="1" applyBorder="1" applyAlignment="1">
      <alignment horizontal="center" vertical="center" shrinkToFit="1"/>
    </xf>
    <xf numFmtId="189" fontId="21" fillId="25" borderId="2" xfId="163" applyNumberFormat="1" applyFont="1" applyFill="1" applyBorder="1" applyAlignment="1">
      <alignment horizontal="center" vertical="center"/>
    </xf>
    <xf numFmtId="0" fontId="21" fillId="25" borderId="17" xfId="163" applyNumberFormat="1" applyFont="1" applyFill="1" applyBorder="1">
      <alignment vertical="center"/>
    </xf>
    <xf numFmtId="177" fontId="21" fillId="25" borderId="2" xfId="163" applyNumberFormat="1" applyFont="1" applyFill="1" applyBorder="1">
      <alignment vertical="center"/>
    </xf>
    <xf numFmtId="177" fontId="21" fillId="25" borderId="2" xfId="163" applyNumberFormat="1" applyFont="1" applyFill="1" applyBorder="1" applyAlignment="1">
      <alignment horizontal="center" vertical="center"/>
    </xf>
    <xf numFmtId="0" fontId="5" fillId="0" borderId="0" xfId="0" applyNumberFormat="1" applyFont="1">
      <alignment vertical="center"/>
    </xf>
    <xf numFmtId="191" fontId="21" fillId="0" borderId="22" xfId="1" applyNumberFormat="1" applyFont="1" applyFill="1" applyBorder="1" applyAlignment="1">
      <alignment horizontal="right" vertical="center"/>
    </xf>
    <xf numFmtId="0" fontId="21" fillId="0" borderId="2" xfId="106" applyNumberFormat="1" applyFont="1" applyFill="1" applyBorder="1" applyAlignment="1">
      <alignment horizontal="center" vertical="center"/>
    </xf>
    <xf numFmtId="178" fontId="21" fillId="0" borderId="32" xfId="106" applyNumberFormat="1" applyFont="1" applyFill="1" applyBorder="1" applyAlignment="1">
      <alignment horizontal="right" vertical="center"/>
    </xf>
    <xf numFmtId="0" fontId="21" fillId="0" borderId="22" xfId="106" applyNumberFormat="1" applyFont="1" applyFill="1" applyBorder="1" applyAlignment="1">
      <alignment vertical="center"/>
    </xf>
    <xf numFmtId="178" fontId="24" fillId="0" borderId="32" xfId="20" applyNumberFormat="1" applyFont="1" applyFill="1" applyBorder="1" applyAlignment="1">
      <alignment vertical="center"/>
    </xf>
    <xf numFmtId="178" fontId="24" fillId="0" borderId="33" xfId="20" applyNumberFormat="1" applyFont="1" applyFill="1" applyBorder="1" applyAlignment="1">
      <alignment vertical="center"/>
    </xf>
    <xf numFmtId="0" fontId="53" fillId="0" borderId="0" xfId="272" applyNumberFormat="1" applyFill="1">
      <alignment vertical="center"/>
    </xf>
    <xf numFmtId="0" fontId="53" fillId="0" borderId="0" xfId="272" applyNumberFormat="1">
      <alignment vertical="center"/>
    </xf>
    <xf numFmtId="41" fontId="23" fillId="0" borderId="12" xfId="9" applyNumberFormat="1" applyFont="1" applyBorder="1" applyAlignment="1">
      <alignment horizontal="center" vertical="center"/>
    </xf>
    <xf numFmtId="0" fontId="21" fillId="0" borderId="17" xfId="20" applyNumberFormat="1" applyFont="1" applyFill="1" applyBorder="1" applyAlignment="1">
      <alignment vertical="center"/>
    </xf>
    <xf numFmtId="177" fontId="21" fillId="0" borderId="2" xfId="9" applyNumberFormat="1" applyFont="1" applyFill="1" applyBorder="1" applyAlignment="1">
      <alignment vertical="center"/>
    </xf>
    <xf numFmtId="177" fontId="21" fillId="0" borderId="2" xfId="20" applyNumberFormat="1" applyFont="1" applyFill="1" applyBorder="1" applyAlignment="1">
      <alignment horizontal="center" vertical="center"/>
    </xf>
    <xf numFmtId="179" fontId="21" fillId="0" borderId="2" xfId="289" applyNumberFormat="1" applyFont="1" applyFill="1" applyBorder="1" applyAlignment="1">
      <alignment vertical="center" shrinkToFit="1"/>
    </xf>
    <xf numFmtId="180" fontId="21" fillId="0" borderId="2" xfId="289" applyNumberFormat="1" applyFont="1" applyFill="1" applyBorder="1" applyAlignment="1">
      <alignment vertical="center" shrinkToFit="1"/>
    </xf>
    <xf numFmtId="178" fontId="24" fillId="0" borderId="32" xfId="70" applyNumberFormat="1" applyFont="1" applyFill="1" applyBorder="1" applyAlignment="1">
      <alignment vertical="center"/>
    </xf>
    <xf numFmtId="0" fontId="21" fillId="0" borderId="24" xfId="20" applyNumberFormat="1" applyFont="1" applyFill="1" applyBorder="1" applyAlignment="1">
      <alignment vertical="center"/>
    </xf>
    <xf numFmtId="177" fontId="21" fillId="0" borderId="31" xfId="9" applyNumberFormat="1" applyFont="1" applyFill="1" applyBorder="1" applyAlignment="1">
      <alignment vertical="center"/>
    </xf>
    <xf numFmtId="177" fontId="21" fillId="0" borderId="31" xfId="20" applyNumberFormat="1" applyFont="1" applyFill="1" applyBorder="1" applyAlignment="1">
      <alignment horizontal="center" vertical="center"/>
    </xf>
    <xf numFmtId="179" fontId="21" fillId="0" borderId="31" xfId="289" applyNumberFormat="1" applyFont="1" applyFill="1" applyBorder="1" applyAlignment="1">
      <alignment vertical="center" shrinkToFit="1"/>
    </xf>
    <xf numFmtId="178" fontId="21" fillId="0" borderId="31" xfId="289" applyNumberFormat="1" applyFont="1" applyFill="1" applyBorder="1" applyAlignment="1">
      <alignment horizontal="center" vertical="center" shrinkToFit="1"/>
    </xf>
    <xf numFmtId="180" fontId="21" fillId="0" borderId="31" xfId="289" applyNumberFormat="1" applyFont="1" applyFill="1" applyBorder="1" applyAlignment="1">
      <alignment vertical="center" shrinkToFit="1"/>
    </xf>
    <xf numFmtId="189" fontId="21" fillId="0" borderId="31" xfId="20" applyNumberFormat="1" applyFont="1" applyFill="1" applyBorder="1" applyAlignment="1">
      <alignment vertical="center"/>
    </xf>
    <xf numFmtId="178" fontId="24" fillId="0" borderId="34" xfId="70" applyNumberFormat="1" applyFont="1" applyFill="1" applyBorder="1" applyAlignment="1">
      <alignment vertical="center"/>
    </xf>
    <xf numFmtId="0" fontId="21" fillId="0" borderId="21" xfId="20" applyNumberFormat="1" applyFont="1" applyFill="1" applyBorder="1"/>
    <xf numFmtId="0" fontId="21" fillId="0" borderId="35" xfId="20" applyNumberFormat="1" applyFont="1" applyFill="1" applyBorder="1"/>
    <xf numFmtId="0" fontId="25" fillId="0" borderId="22" xfId="20" applyNumberFormat="1" applyFont="1" applyFill="1" applyBorder="1" applyAlignment="1">
      <alignment vertical="center" wrapText="1"/>
    </xf>
    <xf numFmtId="0" fontId="21" fillId="0" borderId="19" xfId="20" applyNumberFormat="1" applyFont="1" applyFill="1" applyBorder="1" applyAlignment="1">
      <alignment horizontal="left" vertical="center" wrapText="1"/>
    </xf>
    <xf numFmtId="41" fontId="21" fillId="0" borderId="19" xfId="20" applyNumberFormat="1" applyFont="1" applyFill="1" applyBorder="1" applyAlignment="1">
      <alignment horizontal="right" vertical="center" wrapText="1"/>
    </xf>
    <xf numFmtId="191" fontId="21" fillId="0" borderId="19" xfId="20" applyNumberFormat="1" applyFont="1" applyFill="1" applyBorder="1" applyAlignment="1">
      <alignment vertical="center"/>
    </xf>
    <xf numFmtId="191" fontId="21" fillId="0" borderId="19" xfId="9" applyNumberFormat="1" applyFont="1" applyFill="1" applyBorder="1" applyAlignment="1">
      <alignment horizontal="right" vertical="center"/>
    </xf>
    <xf numFmtId="0" fontId="21" fillId="0" borderId="17" xfId="20" applyNumberFormat="1" applyFont="1" applyFill="1" applyBorder="1"/>
    <xf numFmtId="206" fontId="24" fillId="0" borderId="32" xfId="289" applyNumberFormat="1" applyFont="1" applyFill="1" applyBorder="1" applyAlignment="1">
      <alignment horizontal="right" vertical="center" shrinkToFit="1"/>
    </xf>
    <xf numFmtId="191" fontId="21" fillId="0" borderId="36" xfId="9" applyNumberFormat="1" applyFont="1" applyFill="1" applyBorder="1" applyAlignment="1">
      <alignment horizontal="right" vertical="center"/>
    </xf>
    <xf numFmtId="0" fontId="24" fillId="0" borderId="0" xfId="20" applyNumberFormat="1" applyFont="1" applyFill="1" applyBorder="1"/>
    <xf numFmtId="0" fontId="26" fillId="0" borderId="23" xfId="20" applyNumberFormat="1" applyFont="1" applyFill="1" applyBorder="1" applyAlignment="1">
      <alignment vertical="center" wrapText="1"/>
    </xf>
    <xf numFmtId="0" fontId="24" fillId="0" borderId="36" xfId="20" applyNumberFormat="1" applyFont="1" applyFill="1" applyBorder="1" applyAlignment="1">
      <alignment horizontal="left" vertical="center" wrapText="1"/>
    </xf>
    <xf numFmtId="41" fontId="24" fillId="0" borderId="36" xfId="20" applyNumberFormat="1" applyFont="1" applyFill="1" applyBorder="1" applyAlignment="1">
      <alignment horizontal="left" vertical="center" wrapText="1"/>
    </xf>
    <xf numFmtId="0" fontId="21" fillId="0" borderId="0" xfId="20" applyNumberFormat="1" applyFont="1" applyFill="1" applyBorder="1"/>
    <xf numFmtId="178" fontId="21" fillId="0" borderId="33" xfId="289" applyNumberFormat="1" applyFont="1" applyFill="1" applyBorder="1" applyAlignment="1">
      <alignment horizontal="right" vertical="center" shrinkToFit="1"/>
    </xf>
    <xf numFmtId="191" fontId="24" fillId="0" borderId="36" xfId="20" applyNumberFormat="1" applyFont="1" applyFill="1" applyBorder="1" applyAlignment="1">
      <alignment horizontal="right" vertical="center" wrapText="1"/>
    </xf>
    <xf numFmtId="177" fontId="21" fillId="0" borderId="0" xfId="20" applyNumberFormat="1" applyFont="1" applyFill="1" applyBorder="1" applyAlignment="1">
      <alignment horizontal="right" vertical="center"/>
    </xf>
    <xf numFmtId="9" fontId="21" fillId="0" borderId="0" xfId="20" applyNumberFormat="1" applyFont="1" applyFill="1" applyBorder="1" applyAlignment="1">
      <alignment vertical="center"/>
    </xf>
    <xf numFmtId="189" fontId="21" fillId="0" borderId="0" xfId="20" applyNumberFormat="1" applyFont="1" applyFill="1" applyBorder="1" applyAlignment="1">
      <alignment horizontal="right" vertical="center"/>
    </xf>
    <xf numFmtId="0" fontId="24" fillId="0" borderId="23" xfId="20" applyNumberFormat="1" applyFont="1" applyFill="1" applyBorder="1" applyAlignment="1">
      <alignment horizontal="left" vertical="center" wrapText="1"/>
    </xf>
    <xf numFmtId="41" fontId="24" fillId="0" borderId="23" xfId="20" applyNumberFormat="1" applyFont="1" applyFill="1" applyBorder="1" applyAlignment="1">
      <alignment horizontal="left" vertical="center" wrapText="1"/>
    </xf>
    <xf numFmtId="191" fontId="24" fillId="0" borderId="23" xfId="20" applyNumberFormat="1" applyFont="1" applyFill="1" applyBorder="1" applyAlignment="1">
      <alignment horizontal="right" vertical="center" wrapText="1"/>
    </xf>
    <xf numFmtId="176" fontId="53" fillId="0" borderId="0" xfId="272" applyNumberFormat="1" applyFill="1">
      <alignment vertical="center"/>
    </xf>
    <xf numFmtId="0" fontId="24" fillId="0" borderId="23" xfId="20" applyNumberFormat="1" applyFont="1" applyFill="1" applyBorder="1" applyAlignment="1">
      <alignment vertical="center" wrapText="1"/>
    </xf>
    <xf numFmtId="0" fontId="24" fillId="0" borderId="0" xfId="20" applyNumberFormat="1" applyFont="1" applyFill="1" applyBorder="1" applyAlignment="1">
      <alignment vertical="center" wrapText="1"/>
    </xf>
    <xf numFmtId="0" fontId="21" fillId="0" borderId="26" xfId="20" applyNumberFormat="1" applyFont="1" applyFill="1" applyBorder="1" applyAlignment="1">
      <alignment horizontal="left" vertical="center" wrapText="1"/>
    </xf>
    <xf numFmtId="41" fontId="21" fillId="0" borderId="26" xfId="20" applyNumberFormat="1" applyFont="1" applyFill="1" applyBorder="1" applyAlignment="1">
      <alignment horizontal="right" vertical="center" wrapText="1"/>
    </xf>
    <xf numFmtId="191" fontId="24" fillId="0" borderId="19" xfId="9" applyNumberFormat="1" applyFont="1" applyFill="1" applyBorder="1" applyAlignment="1">
      <alignment horizontal="right" vertical="center"/>
    </xf>
    <xf numFmtId="0" fontId="21" fillId="0" borderId="16" xfId="20" applyNumberFormat="1" applyFont="1" applyFill="1" applyBorder="1" applyAlignment="1">
      <alignment vertical="center"/>
    </xf>
    <xf numFmtId="191" fontId="21" fillId="0" borderId="16" xfId="9" applyNumberFormat="1" applyFont="1" applyFill="1" applyBorder="1" applyAlignment="1">
      <alignment horizontal="right" vertical="center"/>
    </xf>
    <xf numFmtId="0" fontId="21" fillId="0" borderId="28" xfId="11" applyNumberFormat="1" applyFont="1" applyFill="1" applyBorder="1" applyAlignment="1">
      <alignment horizontal="left" vertical="center"/>
    </xf>
    <xf numFmtId="191" fontId="21" fillId="0" borderId="28" xfId="9" applyNumberFormat="1" applyFont="1" applyFill="1" applyBorder="1" applyAlignment="1">
      <alignment horizontal="right" vertical="center"/>
    </xf>
    <xf numFmtId="0" fontId="12" fillId="0" borderId="0" xfId="0" applyNumberFormat="1" applyFont="1">
      <alignment vertical="center"/>
    </xf>
    <xf numFmtId="0" fontId="0" fillId="0" borderId="0" xfId="163" applyNumberFormat="1" applyFont="1" applyAlignment="1">
      <alignment vertical="center"/>
    </xf>
    <xf numFmtId="0" fontId="23" fillId="0" borderId="0" xfId="163" applyNumberFormat="1" applyFont="1" applyAlignment="1">
      <alignment vertical="center"/>
    </xf>
    <xf numFmtId="177" fontId="23" fillId="0" borderId="0" xfId="163" applyNumberFormat="1" applyFont="1" applyAlignment="1">
      <alignment vertical="center"/>
    </xf>
    <xf numFmtId="177" fontId="0" fillId="0" borderId="0" xfId="163" applyNumberFormat="1" applyFont="1" applyAlignment="1">
      <alignment horizontal="center" vertical="center"/>
    </xf>
    <xf numFmtId="9" fontId="0" fillId="0" borderId="0" xfId="163" applyNumberFormat="1" applyFont="1" applyAlignment="1">
      <alignment vertical="center"/>
    </xf>
    <xf numFmtId="189" fontId="0" fillId="0" borderId="0" xfId="163" applyNumberFormat="1" applyFont="1" applyAlignment="1">
      <alignment vertical="center"/>
    </xf>
    <xf numFmtId="0" fontId="24" fillId="26" borderId="38" xfId="163" applyNumberFormat="1" applyFont="1" applyFill="1" applyBorder="1" applyAlignment="1">
      <alignment horizontal="center" vertical="center" shrinkToFit="1"/>
    </xf>
    <xf numFmtId="0" fontId="24" fillId="26" borderId="29" xfId="163" applyNumberFormat="1" applyFont="1" applyFill="1" applyBorder="1" applyAlignment="1">
      <alignment horizontal="center" vertical="center" shrinkToFit="1"/>
    </xf>
    <xf numFmtId="191" fontId="24" fillId="27" borderId="13" xfId="9" applyNumberFormat="1" applyFont="1" applyFill="1" applyBorder="1" applyAlignment="1">
      <alignment horizontal="right" vertical="center"/>
    </xf>
    <xf numFmtId="0" fontId="24" fillId="27" borderId="37" xfId="163" applyNumberFormat="1" applyFont="1" applyFill="1" applyBorder="1">
      <alignment vertical="center"/>
    </xf>
    <xf numFmtId="177" fontId="24" fillId="27" borderId="37" xfId="163" applyNumberFormat="1" applyFont="1" applyFill="1" applyBorder="1">
      <alignment vertical="center"/>
    </xf>
    <xf numFmtId="177" fontId="24" fillId="27" borderId="37" xfId="163" applyNumberFormat="1" applyFont="1" applyFill="1" applyBorder="1" applyAlignment="1">
      <alignment horizontal="center" vertical="center"/>
    </xf>
    <xf numFmtId="9" fontId="24" fillId="27" borderId="37" xfId="163" applyNumberFormat="1" applyFont="1" applyFill="1" applyBorder="1">
      <alignment vertical="center"/>
    </xf>
    <xf numFmtId="189" fontId="24" fillId="27" borderId="37" xfId="163" applyNumberFormat="1" applyFont="1" applyFill="1" applyBorder="1">
      <alignment vertical="center"/>
    </xf>
    <xf numFmtId="208" fontId="24" fillId="27" borderId="39" xfId="163" applyNumberFormat="1" applyFont="1" applyFill="1" applyBorder="1" applyAlignment="1">
      <alignment horizontal="right" vertical="center"/>
    </xf>
    <xf numFmtId="0" fontId="24" fillId="28" borderId="18" xfId="163" applyNumberFormat="1" applyFont="1" applyFill="1" applyBorder="1">
      <alignment vertical="center"/>
    </xf>
    <xf numFmtId="191" fontId="24" fillId="28" borderId="40" xfId="9" applyNumberFormat="1" applyFont="1" applyFill="1" applyBorder="1" applyAlignment="1">
      <alignment horizontal="right" vertical="center"/>
    </xf>
    <xf numFmtId="0" fontId="24" fillId="28" borderId="37" xfId="163" applyNumberFormat="1" applyFont="1" applyFill="1" applyBorder="1">
      <alignment vertical="center"/>
    </xf>
    <xf numFmtId="177" fontId="24" fillId="28" borderId="37" xfId="163" applyNumberFormat="1" applyFont="1" applyFill="1" applyBorder="1">
      <alignment vertical="center"/>
    </xf>
    <xf numFmtId="177" fontId="24" fillId="28" borderId="37" xfId="163" applyNumberFormat="1" applyFont="1" applyFill="1" applyBorder="1" applyAlignment="1">
      <alignment horizontal="center" vertical="center"/>
    </xf>
    <xf numFmtId="9" fontId="24" fillId="28" borderId="37" xfId="163" applyNumberFormat="1" applyFont="1" applyFill="1" applyBorder="1">
      <alignment vertical="center"/>
    </xf>
    <xf numFmtId="189" fontId="24" fillId="28" borderId="37" xfId="163" applyNumberFormat="1" applyFont="1" applyFill="1" applyBorder="1">
      <alignment vertical="center"/>
    </xf>
    <xf numFmtId="208" fontId="24" fillId="28" borderId="39" xfId="163" applyNumberFormat="1" applyFont="1" applyFill="1" applyBorder="1" applyAlignment="1">
      <alignment horizontal="right" vertical="center"/>
    </xf>
    <xf numFmtId="0" fontId="21" fillId="0" borderId="21" xfId="163" applyNumberFormat="1" applyFont="1" applyFill="1" applyBorder="1">
      <alignment vertical="center"/>
    </xf>
    <xf numFmtId="0" fontId="21" fillId="0" borderId="19" xfId="163" applyNumberFormat="1" applyFont="1" applyFill="1" applyBorder="1">
      <alignment vertical="center"/>
    </xf>
    <xf numFmtId="0" fontId="21" fillId="0" borderId="26" xfId="163" applyNumberFormat="1" applyFont="1" applyFill="1" applyBorder="1" applyAlignment="1">
      <alignment horizontal="center" vertical="center"/>
    </xf>
    <xf numFmtId="191" fontId="21" fillId="0" borderId="19" xfId="163" applyNumberFormat="1" applyFont="1" applyFill="1" applyBorder="1" applyAlignment="1">
      <alignment horizontal="right" vertical="center"/>
    </xf>
    <xf numFmtId="0" fontId="21" fillId="0" borderId="2" xfId="163" applyNumberFormat="1" applyFont="1" applyFill="1" applyBorder="1">
      <alignment vertical="center"/>
    </xf>
    <xf numFmtId="177" fontId="21" fillId="0" borderId="2" xfId="163" applyNumberFormat="1" applyFont="1" applyFill="1" applyBorder="1">
      <alignment vertical="center"/>
    </xf>
    <xf numFmtId="177" fontId="21" fillId="0" borderId="2" xfId="163" applyNumberFormat="1" applyFont="1" applyFill="1" applyBorder="1" applyAlignment="1">
      <alignment horizontal="center" vertical="center"/>
    </xf>
    <xf numFmtId="9" fontId="21" fillId="0" borderId="2" xfId="163" applyNumberFormat="1" applyFont="1" applyFill="1" applyBorder="1">
      <alignment vertical="center"/>
    </xf>
    <xf numFmtId="189" fontId="21" fillId="0" borderId="2" xfId="163" applyNumberFormat="1" applyFont="1" applyFill="1" applyBorder="1">
      <alignment vertical="center"/>
    </xf>
    <xf numFmtId="208" fontId="21" fillId="0" borderId="32" xfId="163" applyNumberFormat="1" applyFont="1" applyFill="1" applyBorder="1" applyAlignment="1">
      <alignment horizontal="right" vertical="center"/>
    </xf>
    <xf numFmtId="0" fontId="21" fillId="0" borderId="23" xfId="163" applyNumberFormat="1" applyFont="1" applyFill="1" applyBorder="1">
      <alignment vertical="center"/>
    </xf>
    <xf numFmtId="0" fontId="21" fillId="0" borderId="19" xfId="163" applyNumberFormat="1" applyFont="1" applyFill="1" applyBorder="1" applyAlignment="1">
      <alignment horizontal="left" vertical="center" wrapText="1"/>
    </xf>
    <xf numFmtId="0" fontId="21" fillId="0" borderId="41" xfId="163" applyNumberFormat="1" applyFont="1" applyFill="1" applyBorder="1">
      <alignment vertical="center"/>
    </xf>
    <xf numFmtId="177" fontId="21" fillId="0" borderId="0" xfId="163" applyNumberFormat="1" applyFont="1" applyFill="1" applyBorder="1">
      <alignment vertical="center"/>
    </xf>
    <xf numFmtId="177" fontId="21" fillId="0" borderId="0" xfId="163" applyNumberFormat="1" applyFont="1" applyFill="1" applyBorder="1" applyAlignment="1">
      <alignment horizontal="center" vertical="center"/>
    </xf>
    <xf numFmtId="194" fontId="21" fillId="0" borderId="0" xfId="163" applyNumberFormat="1" applyFont="1" applyFill="1" applyBorder="1" applyAlignment="1">
      <alignment horizontal="center" vertical="center"/>
    </xf>
    <xf numFmtId="189" fontId="21" fillId="0" borderId="0" xfId="163" applyNumberFormat="1" applyFont="1" applyFill="1" applyBorder="1">
      <alignment vertical="center"/>
    </xf>
    <xf numFmtId="189" fontId="21" fillId="0" borderId="0" xfId="163" applyNumberFormat="1" applyFont="1" applyFill="1" applyBorder="1" applyAlignment="1">
      <alignment horizontal="center" vertical="center"/>
    </xf>
    <xf numFmtId="178" fontId="24" fillId="0" borderId="33" xfId="163" applyNumberFormat="1" applyFont="1" applyFill="1" applyBorder="1" applyAlignment="1">
      <alignment horizontal="right" vertical="center"/>
    </xf>
    <xf numFmtId="0" fontId="21" fillId="0" borderId="17" xfId="163" applyNumberFormat="1" applyFont="1" applyFill="1" applyBorder="1">
      <alignment vertical="center"/>
    </xf>
    <xf numFmtId="194" fontId="21" fillId="0" borderId="2" xfId="163" applyNumberFormat="1" applyFont="1" applyFill="1" applyBorder="1" applyAlignment="1">
      <alignment horizontal="center" vertical="center"/>
    </xf>
    <xf numFmtId="189" fontId="21" fillId="0" borderId="2" xfId="163" applyNumberFormat="1" applyFont="1" applyFill="1" applyBorder="1" applyAlignment="1">
      <alignment horizontal="center" vertical="center"/>
    </xf>
    <xf numFmtId="178" fontId="24" fillId="0" borderId="32" xfId="163" applyNumberFormat="1" applyFont="1" applyFill="1" applyBorder="1" applyAlignment="1">
      <alignment horizontal="right" vertical="center"/>
    </xf>
    <xf numFmtId="0" fontId="21" fillId="0" borderId="24" xfId="11" applyNumberFormat="1" applyFont="1" applyFill="1" applyBorder="1" applyAlignment="1">
      <alignment horizontal="left" vertical="center"/>
    </xf>
    <xf numFmtId="177" fontId="21" fillId="0" borderId="31" xfId="163" applyNumberFormat="1" applyFont="1" applyFill="1" applyBorder="1">
      <alignment vertical="center"/>
    </xf>
    <xf numFmtId="177" fontId="21" fillId="0" borderId="31" xfId="163" applyNumberFormat="1" applyFont="1" applyFill="1" applyBorder="1" applyAlignment="1">
      <alignment horizontal="center" vertical="center"/>
    </xf>
    <xf numFmtId="196" fontId="21" fillId="0" borderId="2" xfId="11" applyNumberFormat="1" applyFont="1" applyFill="1" applyBorder="1" applyAlignment="1">
      <alignment horizontal="right" vertical="center"/>
    </xf>
    <xf numFmtId="176" fontId="24" fillId="0" borderId="26" xfId="0" applyNumberFormat="1" applyFont="1" applyBorder="1">
      <alignment vertical="center"/>
    </xf>
    <xf numFmtId="0" fontId="21" fillId="0" borderId="17" xfId="11" applyNumberFormat="1" applyFont="1" applyFill="1" applyBorder="1" applyAlignment="1">
      <alignment horizontal="left" vertical="center"/>
    </xf>
    <xf numFmtId="178" fontId="24" fillId="0" borderId="32" xfId="12" applyNumberFormat="1" applyFont="1" applyFill="1" applyBorder="1" applyAlignment="1">
      <alignment horizontal="right" vertical="center"/>
    </xf>
    <xf numFmtId="0" fontId="21" fillId="0" borderId="23" xfId="163" applyNumberFormat="1" applyFont="1" applyFill="1" applyBorder="1" applyAlignment="1">
      <alignment horizontal="left" vertical="center" wrapText="1"/>
    </xf>
    <xf numFmtId="191" fontId="21" fillId="0" borderId="23" xfId="9" applyNumberFormat="1" applyFont="1" applyFill="1" applyBorder="1" applyAlignment="1">
      <alignment horizontal="right" vertical="center"/>
    </xf>
    <xf numFmtId="191" fontId="21" fillId="0" borderId="23" xfId="163" applyNumberFormat="1" applyFont="1" applyFill="1" applyBorder="1" applyAlignment="1">
      <alignment horizontal="right" vertical="center"/>
    </xf>
    <xf numFmtId="189" fontId="21" fillId="0" borderId="31" xfId="163" applyNumberFormat="1" applyFont="1" applyFill="1" applyBorder="1" applyAlignment="1">
      <alignment horizontal="center" vertical="center"/>
    </xf>
    <xf numFmtId="178" fontId="24" fillId="0" borderId="34" xfId="12" applyNumberFormat="1" applyFont="1" applyFill="1" applyBorder="1" applyAlignment="1">
      <alignment horizontal="right" vertical="center"/>
    </xf>
    <xf numFmtId="0" fontId="21" fillId="0" borderId="41" xfId="11" applyNumberFormat="1" applyFont="1" applyFill="1" applyBorder="1" applyAlignment="1">
      <alignment horizontal="left" vertical="center"/>
    </xf>
    <xf numFmtId="178" fontId="24" fillId="0" borderId="33" xfId="12" applyNumberFormat="1" applyFont="1" applyFill="1" applyBorder="1" applyAlignment="1">
      <alignment horizontal="right" vertical="center"/>
    </xf>
    <xf numFmtId="0" fontId="21" fillId="0" borderId="36" xfId="163" applyNumberFormat="1" applyFont="1" applyFill="1" applyBorder="1" applyAlignment="1">
      <alignment horizontal="left" vertical="center" wrapText="1"/>
    </xf>
    <xf numFmtId="191" fontId="21" fillId="0" borderId="16" xfId="163" applyNumberFormat="1" applyFont="1" applyFill="1" applyBorder="1" applyAlignment="1">
      <alignment horizontal="right" vertical="center"/>
    </xf>
    <xf numFmtId="177" fontId="21" fillId="0" borderId="37" xfId="163" applyNumberFormat="1" applyFont="1" applyFill="1" applyBorder="1" applyAlignment="1">
      <alignment horizontal="center" vertical="center"/>
    </xf>
    <xf numFmtId="0" fontId="21" fillId="0" borderId="42" xfId="163" applyNumberFormat="1" applyFont="1" applyFill="1" applyBorder="1" applyAlignment="1">
      <alignment horizontal="left" vertical="center" wrapText="1"/>
    </xf>
    <xf numFmtId="0" fontId="21" fillId="0" borderId="31" xfId="163" applyNumberFormat="1" applyFont="1" applyFill="1" applyBorder="1">
      <alignment vertical="center"/>
    </xf>
    <xf numFmtId="9" fontId="21" fillId="0" borderId="31" xfId="163" applyNumberFormat="1" applyFont="1" applyFill="1" applyBorder="1">
      <alignment vertical="center"/>
    </xf>
    <xf numFmtId="189" fontId="21" fillId="0" borderId="31" xfId="163" applyNumberFormat="1" applyFont="1" applyFill="1" applyBorder="1">
      <alignment vertical="center"/>
    </xf>
    <xf numFmtId="208" fontId="21" fillId="0" borderId="34" xfId="163" applyNumberFormat="1" applyFont="1" applyFill="1" applyBorder="1" applyAlignment="1">
      <alignment horizontal="right" vertical="center"/>
    </xf>
    <xf numFmtId="0" fontId="21" fillId="0" borderId="22" xfId="163" applyNumberFormat="1" applyFont="1" applyFill="1" applyBorder="1" applyAlignment="1">
      <alignment horizontal="center" vertical="center" wrapText="1"/>
    </xf>
    <xf numFmtId="191" fontId="21" fillId="0" borderId="22" xfId="9" applyNumberFormat="1" applyFont="1" applyFill="1" applyBorder="1" applyAlignment="1">
      <alignment horizontal="right" vertical="center"/>
    </xf>
    <xf numFmtId="191" fontId="21" fillId="0" borderId="22" xfId="163" applyNumberFormat="1" applyFont="1" applyFill="1" applyBorder="1" applyAlignment="1">
      <alignment horizontal="right" vertical="center"/>
    </xf>
    <xf numFmtId="0" fontId="21" fillId="0" borderId="24" xfId="163" applyNumberFormat="1" applyFont="1" applyFill="1" applyBorder="1">
      <alignment vertical="center"/>
    </xf>
    <xf numFmtId="194" fontId="21" fillId="0" borderId="31" xfId="163" applyNumberFormat="1" applyFont="1" applyFill="1" applyBorder="1" applyAlignment="1">
      <alignment horizontal="center" vertical="center"/>
    </xf>
    <xf numFmtId="178" fontId="24" fillId="0" borderId="34" xfId="163" applyNumberFormat="1" applyFont="1" applyFill="1" applyBorder="1" applyAlignment="1">
      <alignment horizontal="right" vertical="center"/>
    </xf>
    <xf numFmtId="0" fontId="21" fillId="0" borderId="23" xfId="163" applyNumberFormat="1" applyFont="1" applyFill="1" applyBorder="1" applyAlignment="1">
      <alignment horizontal="center" vertical="center" wrapText="1"/>
    </xf>
    <xf numFmtId="179" fontId="21" fillId="0" borderId="0" xfId="163" applyNumberFormat="1" applyFont="1" applyFill="1" applyBorder="1" applyAlignment="1">
      <alignment horizontal="center" vertical="center"/>
    </xf>
    <xf numFmtId="186" fontId="21" fillId="0" borderId="0" xfId="163" applyNumberFormat="1" applyFont="1" applyFill="1" applyBorder="1">
      <alignment vertical="center"/>
    </xf>
    <xf numFmtId="0" fontId="29" fillId="0" borderId="19" xfId="163" applyNumberFormat="1" applyFont="1" applyFill="1" applyBorder="1" applyAlignment="1">
      <alignment vertical="center" wrapText="1"/>
    </xf>
    <xf numFmtId="0" fontId="21" fillId="0" borderId="42" xfId="163" applyNumberFormat="1" applyFont="1" applyFill="1" applyBorder="1" applyAlignment="1">
      <alignment horizontal="center" vertical="center"/>
    </xf>
    <xf numFmtId="0" fontId="21" fillId="0" borderId="24" xfId="163" quotePrefix="1" applyNumberFormat="1" applyFont="1" applyFill="1" applyBorder="1">
      <alignment vertical="center"/>
    </xf>
    <xf numFmtId="178" fontId="21" fillId="0" borderId="34" xfId="163" applyNumberFormat="1" applyFont="1" applyFill="1" applyBorder="1" applyAlignment="1">
      <alignment horizontal="right" vertical="center"/>
    </xf>
    <xf numFmtId="41" fontId="0" fillId="0" borderId="0" xfId="288" applyNumberFormat="1" applyFont="1">
      <alignment vertical="center"/>
    </xf>
    <xf numFmtId="0" fontId="21" fillId="0" borderId="41" xfId="163" applyNumberFormat="1" applyFont="1" applyFill="1" applyBorder="1" applyAlignment="1">
      <alignment vertical="center" wrapText="1"/>
    </xf>
    <xf numFmtId="0" fontId="21" fillId="0" borderId="19" xfId="163" applyNumberFormat="1" applyFont="1" applyFill="1" applyBorder="1" applyAlignment="1">
      <alignment horizontal="left" vertical="center"/>
    </xf>
    <xf numFmtId="0" fontId="21" fillId="0" borderId="23" xfId="163" applyNumberFormat="1" applyFont="1" applyFill="1" applyBorder="1" applyAlignment="1">
      <alignment vertical="center" wrapText="1"/>
    </xf>
    <xf numFmtId="0" fontId="21" fillId="0" borderId="16" xfId="163" applyNumberFormat="1" applyFont="1" applyFill="1" applyBorder="1" applyAlignment="1">
      <alignment horizontal="left" vertical="center"/>
    </xf>
    <xf numFmtId="191" fontId="21" fillId="0" borderId="40" xfId="163" applyNumberFormat="1" applyFont="1" applyFill="1" applyBorder="1" applyAlignment="1">
      <alignment horizontal="right" vertical="center"/>
    </xf>
    <xf numFmtId="0" fontId="21" fillId="0" borderId="19" xfId="163" applyNumberFormat="1" applyFont="1" applyFill="1" applyBorder="1" applyAlignment="1">
      <alignment vertical="center" wrapText="1"/>
    </xf>
    <xf numFmtId="0" fontId="21" fillId="0" borderId="19" xfId="163" applyNumberFormat="1" applyFont="1" applyFill="1" applyBorder="1" applyAlignment="1">
      <alignment horizontal="center" vertical="center"/>
    </xf>
    <xf numFmtId="178" fontId="21" fillId="0" borderId="32" xfId="163" applyNumberFormat="1" applyFont="1" applyFill="1" applyBorder="1" applyAlignment="1">
      <alignment horizontal="right" vertical="center"/>
    </xf>
    <xf numFmtId="0" fontId="21" fillId="0" borderId="19" xfId="163" applyNumberFormat="1" applyFont="1" applyFill="1" applyBorder="1" applyAlignment="1">
      <alignment horizontal="left" vertical="center" shrinkToFit="1"/>
    </xf>
    <xf numFmtId="0" fontId="21" fillId="0" borderId="23" xfId="163" applyNumberFormat="1" applyFont="1" applyFill="1" applyBorder="1" applyAlignment="1">
      <alignment horizontal="center" vertical="center"/>
    </xf>
    <xf numFmtId="0" fontId="21" fillId="0" borderId="16" xfId="163" applyNumberFormat="1" applyFont="1" applyFill="1" applyBorder="1" applyAlignment="1">
      <alignment vertical="center" wrapText="1"/>
    </xf>
    <xf numFmtId="0" fontId="24" fillId="28" borderId="15" xfId="163" applyNumberFormat="1" applyFont="1" applyFill="1" applyBorder="1">
      <alignment vertical="center"/>
    </xf>
    <xf numFmtId="191" fontId="24" fillId="28" borderId="19" xfId="163" applyNumberFormat="1" applyFont="1" applyFill="1" applyBorder="1" applyAlignment="1">
      <alignment horizontal="right" vertical="center"/>
    </xf>
    <xf numFmtId="0" fontId="24" fillId="28" borderId="17" xfId="163" applyNumberFormat="1" applyFont="1" applyFill="1" applyBorder="1">
      <alignment vertical="center"/>
    </xf>
    <xf numFmtId="177" fontId="24" fillId="28" borderId="2" xfId="163" applyNumberFormat="1" applyFont="1" applyFill="1" applyBorder="1">
      <alignment vertical="center"/>
    </xf>
    <xf numFmtId="177" fontId="24" fillId="28" borderId="2" xfId="163" applyNumberFormat="1" applyFont="1" applyFill="1" applyBorder="1" applyAlignment="1">
      <alignment horizontal="center" vertical="center"/>
    </xf>
    <xf numFmtId="9" fontId="24" fillId="28" borderId="2" xfId="163" applyNumberFormat="1" applyFont="1" applyFill="1" applyBorder="1">
      <alignment vertical="center"/>
    </xf>
    <xf numFmtId="189" fontId="24" fillId="28" borderId="2" xfId="163" applyNumberFormat="1" applyFont="1" applyFill="1" applyBorder="1">
      <alignment vertical="center"/>
    </xf>
    <xf numFmtId="189" fontId="24" fillId="28" borderId="2" xfId="163" applyNumberFormat="1" applyFont="1" applyFill="1" applyBorder="1" applyAlignment="1">
      <alignment horizontal="center" vertical="center"/>
    </xf>
    <xf numFmtId="206" fontId="24" fillId="28" borderId="32" xfId="163" applyNumberFormat="1" applyFont="1" applyFill="1" applyBorder="1" applyAlignment="1">
      <alignment horizontal="right" vertical="center"/>
    </xf>
    <xf numFmtId="0" fontId="21" fillId="0" borderId="43" xfId="163" applyNumberFormat="1" applyFont="1" applyFill="1" applyBorder="1">
      <alignment vertical="center"/>
    </xf>
    <xf numFmtId="0" fontId="21" fillId="0" borderId="17" xfId="163" applyNumberFormat="1" applyFont="1" applyFill="1" applyBorder="1" applyAlignment="1">
      <alignment vertical="center" wrapText="1"/>
    </xf>
    <xf numFmtId="9" fontId="21" fillId="25" borderId="2" xfId="163" applyNumberFormat="1" applyFont="1" applyFill="1" applyBorder="1">
      <alignment vertical="center"/>
    </xf>
    <xf numFmtId="189" fontId="21" fillId="25" borderId="2" xfId="163" applyNumberFormat="1" applyFont="1" applyFill="1" applyBorder="1">
      <alignment vertical="center"/>
    </xf>
    <xf numFmtId="206" fontId="21" fillId="25" borderId="32" xfId="163" applyNumberFormat="1" applyFont="1" applyFill="1" applyBorder="1" applyAlignment="1">
      <alignment horizontal="right" vertical="center"/>
    </xf>
    <xf numFmtId="0" fontId="21" fillId="0" borderId="35" xfId="163" applyNumberFormat="1" applyFont="1" applyFill="1" applyBorder="1">
      <alignment vertical="center"/>
    </xf>
    <xf numFmtId="209" fontId="24" fillId="25" borderId="33" xfId="163" applyNumberFormat="1" applyFont="1" applyFill="1" applyBorder="1" applyAlignment="1">
      <alignment horizontal="right" vertical="center"/>
    </xf>
    <xf numFmtId="0" fontId="21" fillId="0" borderId="22" xfId="163" applyNumberFormat="1" applyFont="1" applyFill="1" applyBorder="1" applyAlignment="1">
      <alignment horizontal="left" vertical="center" wrapText="1"/>
    </xf>
    <xf numFmtId="0" fontId="21" fillId="0" borderId="17" xfId="163" applyNumberFormat="1" applyFont="1" applyFill="1" applyBorder="1" applyAlignment="1" applyProtection="1">
      <alignment vertical="center"/>
    </xf>
    <xf numFmtId="177" fontId="21" fillId="25" borderId="2" xfId="163" applyNumberFormat="1" applyFont="1" applyFill="1" applyBorder="1" applyAlignment="1" applyProtection="1">
      <alignment vertical="center"/>
    </xf>
    <xf numFmtId="177" fontId="21" fillId="0" borderId="2" xfId="163" applyNumberFormat="1" applyFont="1" applyFill="1" applyBorder="1" applyAlignment="1" applyProtection="1">
      <alignment horizontal="center" vertical="center"/>
    </xf>
    <xf numFmtId="179" fontId="21" fillId="0" borderId="2" xfId="163" applyNumberFormat="1" applyFont="1" applyFill="1" applyBorder="1" applyAlignment="1" applyProtection="1">
      <alignment horizontal="center" vertical="center"/>
    </xf>
    <xf numFmtId="186" fontId="21" fillId="0" borderId="2" xfId="163" applyNumberFormat="1" applyFont="1" applyFill="1" applyBorder="1" applyAlignment="1" applyProtection="1">
      <alignment vertical="center"/>
    </xf>
    <xf numFmtId="189" fontId="21" fillId="0" borderId="2" xfId="163" applyNumberFormat="1" applyFont="1" applyFill="1" applyBorder="1" applyAlignment="1" applyProtection="1">
      <alignment horizontal="center" vertical="center"/>
    </xf>
    <xf numFmtId="178" fontId="24" fillId="0" borderId="32" xfId="163" applyNumberFormat="1" applyFont="1" applyFill="1" applyBorder="1" applyAlignment="1" applyProtection="1">
      <alignment horizontal="right" vertical="center"/>
    </xf>
    <xf numFmtId="191" fontId="21" fillId="0" borderId="19" xfId="9" applyNumberFormat="1" applyFont="1" applyFill="1" applyBorder="1" applyAlignment="1" applyProtection="1">
      <alignment horizontal="right" vertical="center"/>
    </xf>
    <xf numFmtId="191" fontId="21" fillId="0" borderId="19" xfId="163" applyNumberFormat="1" applyFont="1" applyFill="1" applyBorder="1" applyAlignment="1" applyProtection="1">
      <alignment horizontal="right" vertical="center"/>
    </xf>
    <xf numFmtId="0" fontId="21" fillId="0" borderId="44" xfId="163" applyNumberFormat="1" applyFont="1" applyFill="1" applyBorder="1">
      <alignment vertical="center"/>
    </xf>
    <xf numFmtId="0" fontId="21" fillId="0" borderId="28" xfId="163" applyNumberFormat="1" applyFont="1" applyFill="1" applyBorder="1" applyAlignment="1">
      <alignment vertical="center" wrapText="1"/>
    </xf>
    <xf numFmtId="0" fontId="21" fillId="0" borderId="29" xfId="163" applyNumberFormat="1" applyFont="1" applyFill="1" applyBorder="1" applyAlignment="1" applyProtection="1">
      <alignment horizontal="left" vertical="center"/>
    </xf>
    <xf numFmtId="191" fontId="21" fillId="0" borderId="29" xfId="9" applyNumberFormat="1" applyFont="1" applyFill="1" applyBorder="1" applyAlignment="1" applyProtection="1">
      <alignment horizontal="right" vertical="center"/>
    </xf>
    <xf numFmtId="191" fontId="21" fillId="0" borderId="29" xfId="163" applyNumberFormat="1" applyFont="1" applyFill="1" applyBorder="1" applyAlignment="1" applyProtection="1">
      <alignment horizontal="right" vertical="center"/>
    </xf>
    <xf numFmtId="0" fontId="21" fillId="25" borderId="45" xfId="163" applyNumberFormat="1" applyFont="1" applyFill="1" applyBorder="1" applyAlignment="1" applyProtection="1">
      <alignment vertical="center"/>
    </xf>
    <xf numFmtId="177" fontId="21" fillId="25" borderId="45" xfId="163" applyNumberFormat="1" applyFont="1" applyFill="1" applyBorder="1" applyAlignment="1" applyProtection="1">
      <alignment vertical="center"/>
    </xf>
    <xf numFmtId="177" fontId="21" fillId="25" borderId="45" xfId="163" applyNumberFormat="1" applyFont="1" applyFill="1" applyBorder="1" applyAlignment="1" applyProtection="1">
      <alignment horizontal="center" vertical="center"/>
    </xf>
    <xf numFmtId="186" fontId="21" fillId="25" borderId="45" xfId="163" applyNumberFormat="1" applyFont="1" applyFill="1" applyBorder="1" applyAlignment="1" applyProtection="1">
      <alignment vertical="center"/>
    </xf>
    <xf numFmtId="189" fontId="21" fillId="25" borderId="45" xfId="163" applyNumberFormat="1" applyFont="1" applyFill="1" applyBorder="1" applyAlignment="1" applyProtection="1">
      <alignment horizontal="center" vertical="center"/>
    </xf>
    <xf numFmtId="206" fontId="24" fillId="25" borderId="46" xfId="163" applyNumberFormat="1" applyFont="1" applyFill="1" applyBorder="1" applyAlignment="1" applyProtection="1">
      <alignment horizontal="right" vertical="center"/>
    </xf>
    <xf numFmtId="0" fontId="0" fillId="0" borderId="0" xfId="0" applyNumberFormat="1" applyBorder="1">
      <alignment vertical="center"/>
    </xf>
    <xf numFmtId="0" fontId="29" fillId="0" borderId="19" xfId="106" applyNumberFormat="1" applyFont="1" applyFill="1" applyBorder="1" applyAlignment="1">
      <alignment vertical="center" wrapText="1"/>
    </xf>
    <xf numFmtId="0" fontId="21" fillId="0" borderId="19" xfId="106" applyNumberFormat="1" applyFont="1" applyFill="1" applyBorder="1" applyAlignment="1">
      <alignment horizontal="center" vertical="center"/>
    </xf>
    <xf numFmtId="0" fontId="21" fillId="0" borderId="22" xfId="106" applyNumberFormat="1" applyFont="1" applyFill="1" applyBorder="1" applyAlignment="1">
      <alignment vertical="center" wrapText="1"/>
    </xf>
    <xf numFmtId="0" fontId="21" fillId="0" borderId="19" xfId="11" applyNumberFormat="1" applyFont="1" applyFill="1" applyBorder="1" applyAlignment="1">
      <alignment horizontal="left" vertical="center"/>
    </xf>
    <xf numFmtId="191" fontId="21" fillId="0" borderId="26" xfId="9" applyNumberFormat="1" applyFont="1" applyFill="1" applyBorder="1" applyAlignment="1">
      <alignment horizontal="right" vertical="center"/>
    </xf>
    <xf numFmtId="0" fontId="21" fillId="0" borderId="17" xfId="11" applyNumberFormat="1" applyFont="1" applyFill="1" applyBorder="1" applyAlignment="1">
      <alignment vertical="center"/>
    </xf>
    <xf numFmtId="177" fontId="21" fillId="0" borderId="2" xfId="11" applyNumberFormat="1" applyFont="1" applyFill="1" applyBorder="1" applyAlignment="1">
      <alignment horizontal="right" vertical="center"/>
    </xf>
    <xf numFmtId="9" fontId="21" fillId="0" borderId="2" xfId="11" applyNumberFormat="1" applyFont="1" applyFill="1" applyBorder="1" applyAlignment="1">
      <alignment horizontal="right" vertical="center"/>
    </xf>
    <xf numFmtId="189" fontId="21" fillId="0" borderId="32" xfId="11" applyNumberFormat="1" applyFont="1" applyFill="1" applyBorder="1" applyAlignment="1">
      <alignment horizontal="right" vertical="center"/>
    </xf>
    <xf numFmtId="0" fontId="21" fillId="0" borderId="16" xfId="106" applyNumberFormat="1" applyFont="1" applyFill="1" applyBorder="1" applyAlignment="1">
      <alignment vertical="center" wrapText="1"/>
    </xf>
    <xf numFmtId="0" fontId="21" fillId="0" borderId="26" xfId="11" applyNumberFormat="1" applyFont="1" applyFill="1" applyBorder="1" applyAlignment="1">
      <alignment horizontal="left" vertical="center"/>
    </xf>
    <xf numFmtId="0" fontId="21" fillId="0" borderId="2" xfId="11" applyNumberFormat="1" applyFont="1" applyFill="1" applyBorder="1" applyAlignment="1">
      <alignment vertical="center"/>
    </xf>
    <xf numFmtId="0" fontId="21" fillId="0" borderId="20" xfId="11" applyNumberFormat="1" applyFont="1" applyFill="1" applyBorder="1" applyAlignment="1">
      <alignment vertical="center"/>
    </xf>
    <xf numFmtId="0" fontId="21" fillId="0" borderId="42" xfId="11" applyNumberFormat="1" applyFont="1" applyFill="1" applyBorder="1">
      <alignment vertical="center"/>
    </xf>
    <xf numFmtId="0" fontId="21" fillId="0" borderId="22" xfId="11" applyNumberFormat="1" applyFont="1" applyFill="1" applyBorder="1" applyAlignment="1">
      <alignment horizontal="center" vertical="center"/>
    </xf>
    <xf numFmtId="0" fontId="21" fillId="0" borderId="2" xfId="11" applyNumberFormat="1" applyFont="1" applyFill="1" applyBorder="1">
      <alignment vertical="center"/>
    </xf>
    <xf numFmtId="193" fontId="21" fillId="0" borderId="2" xfId="11" applyNumberFormat="1" applyFont="1" applyFill="1" applyBorder="1">
      <alignment vertical="center"/>
    </xf>
    <xf numFmtId="9" fontId="21" fillId="0" borderId="2" xfId="11" applyNumberFormat="1" applyFont="1" applyFill="1" applyBorder="1">
      <alignment vertical="center"/>
    </xf>
    <xf numFmtId="189" fontId="21" fillId="0" borderId="2" xfId="11" applyNumberFormat="1" applyFont="1" applyFill="1" applyBorder="1">
      <alignment vertical="center"/>
    </xf>
    <xf numFmtId="190" fontId="21" fillId="0" borderId="32" xfId="11" applyNumberFormat="1" applyFont="1" applyFill="1" applyBorder="1">
      <alignment vertical="center"/>
    </xf>
    <xf numFmtId="0" fontId="21" fillId="0" borderId="21" xfId="11" applyNumberFormat="1" applyFont="1" applyFill="1" applyBorder="1" applyAlignment="1">
      <alignment vertical="center"/>
    </xf>
    <xf numFmtId="0" fontId="21" fillId="0" borderId="22" xfId="11" applyNumberFormat="1" applyFont="1" applyFill="1" applyBorder="1" applyAlignment="1">
      <alignment vertical="center"/>
    </xf>
    <xf numFmtId="191" fontId="21" fillId="0" borderId="42" xfId="9" applyNumberFormat="1" applyFont="1" applyFill="1" applyBorder="1" applyAlignment="1">
      <alignment horizontal="right" vertical="center"/>
    </xf>
    <xf numFmtId="191" fontId="21" fillId="0" borderId="17" xfId="9" applyNumberFormat="1" applyFont="1" applyFill="1" applyBorder="1" applyAlignment="1">
      <alignment horizontal="right" vertical="center"/>
    </xf>
    <xf numFmtId="177" fontId="21" fillId="0" borderId="2" xfId="11" applyNumberFormat="1" applyFont="1" applyFill="1" applyBorder="1">
      <alignment vertical="center"/>
    </xf>
    <xf numFmtId="190" fontId="21" fillId="0" borderId="32" xfId="11" applyNumberFormat="1" applyFont="1" applyFill="1" applyBorder="1" applyAlignment="1">
      <alignment horizontal="right" vertical="center"/>
    </xf>
    <xf numFmtId="0" fontId="21" fillId="0" borderId="23" xfId="11" applyNumberFormat="1" applyFont="1" applyFill="1" applyBorder="1" applyAlignment="1">
      <alignment horizontal="left" vertical="center"/>
    </xf>
    <xf numFmtId="0" fontId="21" fillId="0" borderId="22" xfId="11" applyNumberFormat="1" applyFont="1" applyFill="1" applyBorder="1" applyAlignment="1">
      <alignment horizontal="left" vertical="center"/>
    </xf>
    <xf numFmtId="191" fontId="21" fillId="0" borderId="22" xfId="11" applyNumberFormat="1" applyFont="1" applyFill="1" applyBorder="1" applyAlignment="1">
      <alignment horizontal="right" vertical="center"/>
    </xf>
    <xf numFmtId="191" fontId="21" fillId="0" borderId="23" xfId="11" applyNumberFormat="1" applyFont="1" applyFill="1" applyBorder="1" applyAlignment="1">
      <alignment horizontal="right" vertical="center"/>
    </xf>
    <xf numFmtId="9" fontId="21" fillId="0" borderId="0" xfId="11" applyNumberFormat="1" applyFont="1" applyFill="1" applyBorder="1" applyAlignment="1">
      <alignment horizontal="right" vertical="center"/>
    </xf>
    <xf numFmtId="178" fontId="24" fillId="0" borderId="34" xfId="288" applyNumberFormat="1" applyFont="1" applyFill="1" applyBorder="1" applyAlignment="1">
      <alignment horizontal="right" vertical="center"/>
    </xf>
    <xf numFmtId="0" fontId="30" fillId="0" borderId="23" xfId="11" applyNumberFormat="1" applyFont="1" applyFill="1" applyBorder="1" applyAlignment="1">
      <alignment vertical="center"/>
    </xf>
    <xf numFmtId="191" fontId="24" fillId="0" borderId="23" xfId="13" applyNumberFormat="1" applyFont="1" applyFill="1" applyBorder="1" applyAlignment="1">
      <alignment horizontal="right" vertical="center"/>
    </xf>
    <xf numFmtId="191" fontId="24" fillId="0" borderId="36" xfId="13" applyNumberFormat="1" applyFont="1" applyFill="1" applyBorder="1" applyAlignment="1">
      <alignment horizontal="right" vertical="center"/>
    </xf>
    <xf numFmtId="191" fontId="21" fillId="0" borderId="36" xfId="13" applyNumberFormat="1" applyFont="1" applyFill="1" applyBorder="1" applyAlignment="1">
      <alignment horizontal="right" vertical="center"/>
    </xf>
    <xf numFmtId="191" fontId="21" fillId="0" borderId="23" xfId="13" applyNumberFormat="1" applyFont="1" applyFill="1" applyBorder="1" applyAlignment="1">
      <alignment horizontal="right" vertical="center"/>
    </xf>
    <xf numFmtId="0" fontId="21" fillId="0" borderId="23" xfId="11" applyNumberFormat="1" applyFont="1" applyFill="1" applyBorder="1" applyAlignment="1">
      <alignment vertical="center"/>
    </xf>
    <xf numFmtId="0" fontId="21" fillId="0" borderId="19" xfId="11" applyNumberFormat="1" applyFont="1" applyFill="1" applyBorder="1" applyAlignment="1">
      <alignment vertical="center"/>
    </xf>
    <xf numFmtId="191" fontId="21" fillId="0" borderId="19" xfId="13" applyNumberFormat="1" applyFont="1" applyFill="1" applyBorder="1" applyAlignment="1">
      <alignment horizontal="right" vertical="center"/>
    </xf>
    <xf numFmtId="0" fontId="21" fillId="0" borderId="2" xfId="11" applyNumberFormat="1" applyFont="1" applyFill="1" applyBorder="1" applyAlignment="1">
      <alignment horizontal="left" vertical="center"/>
    </xf>
    <xf numFmtId="9" fontId="21" fillId="0" borderId="2" xfId="11" applyNumberFormat="1" applyFont="1" applyFill="1" applyBorder="1" applyAlignment="1">
      <alignment horizontal="center" vertical="center"/>
    </xf>
    <xf numFmtId="41" fontId="21" fillId="0" borderId="42" xfId="9" applyNumberFormat="1" applyFont="1" applyFill="1" applyBorder="1" applyAlignment="1">
      <alignment vertical="center"/>
    </xf>
    <xf numFmtId="178" fontId="24" fillId="0" borderId="33" xfId="288" applyNumberFormat="1" applyFont="1" applyFill="1" applyBorder="1" applyAlignment="1">
      <alignment horizontal="right" vertical="center"/>
    </xf>
    <xf numFmtId="41" fontId="21" fillId="0" borderId="36" xfId="9" applyNumberFormat="1" applyFont="1" applyFill="1" applyBorder="1" applyAlignment="1">
      <alignment vertical="center"/>
    </xf>
    <xf numFmtId="191" fontId="21" fillId="0" borderId="41" xfId="9" applyNumberFormat="1" applyFont="1" applyFill="1" applyBorder="1" applyAlignment="1">
      <alignment horizontal="right" vertical="center"/>
    </xf>
    <xf numFmtId="0" fontId="24" fillId="0" borderId="23" xfId="11" applyNumberFormat="1" applyFont="1" applyFill="1" applyBorder="1" applyAlignment="1">
      <alignment vertical="center"/>
    </xf>
    <xf numFmtId="0" fontId="30" fillId="0" borderId="36" xfId="11" applyNumberFormat="1" applyFont="1" applyFill="1" applyBorder="1" applyAlignment="1">
      <alignment vertical="center"/>
    </xf>
    <xf numFmtId="0" fontId="21" fillId="0" borderId="23" xfId="11" applyNumberFormat="1" applyFont="1" applyFill="1" applyBorder="1" applyAlignment="1">
      <alignment vertical="center" wrapText="1"/>
    </xf>
    <xf numFmtId="0" fontId="21" fillId="0" borderId="19" xfId="11" applyNumberFormat="1" applyFont="1" applyFill="1" applyBorder="1" applyAlignment="1">
      <alignment vertical="center" shrinkToFit="1"/>
    </xf>
    <xf numFmtId="0" fontId="21" fillId="0" borderId="19" xfId="11" applyNumberFormat="1" applyFont="1" applyFill="1" applyBorder="1" applyAlignment="1">
      <alignment vertical="center" wrapText="1"/>
    </xf>
    <xf numFmtId="9" fontId="21" fillId="0" borderId="0" xfId="11" applyNumberFormat="1" applyFont="1" applyFill="1" applyBorder="1">
      <alignment vertical="center"/>
    </xf>
    <xf numFmtId="191" fontId="21" fillId="0" borderId="19" xfId="11" applyNumberFormat="1" applyFont="1" applyFill="1" applyBorder="1" applyAlignment="1">
      <alignment horizontal="right" vertical="center" wrapText="1"/>
    </xf>
    <xf numFmtId="0" fontId="21" fillId="0" borderId="36" xfId="11" applyNumberFormat="1" applyFont="1" applyFill="1" applyBorder="1" applyAlignment="1">
      <alignment vertical="center" wrapText="1"/>
    </xf>
    <xf numFmtId="191" fontId="21" fillId="0" borderId="36" xfId="11" applyNumberFormat="1" applyFont="1" applyFill="1" applyBorder="1" applyAlignment="1">
      <alignment horizontal="right" vertical="center" wrapText="1"/>
    </xf>
    <xf numFmtId="191" fontId="21" fillId="0" borderId="23" xfId="11" applyNumberFormat="1" applyFont="1" applyFill="1" applyBorder="1" applyAlignment="1">
      <alignment horizontal="right" vertical="center" wrapText="1"/>
    </xf>
    <xf numFmtId="0" fontId="24" fillId="0" borderId="36" xfId="11" applyNumberFormat="1" applyFont="1" applyFill="1" applyBorder="1" applyAlignment="1">
      <alignment vertical="center"/>
    </xf>
    <xf numFmtId="191" fontId="21" fillId="0" borderId="36" xfId="11" applyNumberFormat="1" applyFont="1" applyFill="1" applyBorder="1" applyAlignment="1">
      <alignment horizontal="right" vertical="center"/>
    </xf>
    <xf numFmtId="0" fontId="21" fillId="0" borderId="16" xfId="11" applyNumberFormat="1" applyFont="1" applyFill="1" applyBorder="1" applyAlignment="1">
      <alignment vertical="center"/>
    </xf>
    <xf numFmtId="0" fontId="24" fillId="0" borderId="21" xfId="11" applyNumberFormat="1" applyFont="1" applyFill="1" applyBorder="1">
      <alignment vertical="center"/>
    </xf>
    <xf numFmtId="0" fontId="21" fillId="0" borderId="19" xfId="11" applyNumberFormat="1" applyFont="1" applyFill="1" applyBorder="1">
      <alignment vertical="center"/>
    </xf>
    <xf numFmtId="0" fontId="21" fillId="0" borderId="19" xfId="11" applyNumberFormat="1" applyFont="1" applyFill="1" applyBorder="1" applyAlignment="1">
      <alignment horizontal="center" vertical="center"/>
    </xf>
    <xf numFmtId="178" fontId="21" fillId="0" borderId="32" xfId="288" applyNumberFormat="1" applyFont="1" applyFill="1" applyBorder="1" applyAlignment="1">
      <alignment horizontal="right" vertical="center"/>
    </xf>
    <xf numFmtId="0" fontId="21" fillId="0" borderId="23" xfId="11" applyNumberFormat="1" applyFont="1" applyFill="1" applyBorder="1">
      <alignment vertical="center"/>
    </xf>
    <xf numFmtId="191" fontId="21" fillId="0" borderId="19" xfId="11" applyNumberFormat="1" applyFont="1" applyFill="1" applyBorder="1" applyAlignment="1">
      <alignment horizontal="right" vertical="center"/>
    </xf>
    <xf numFmtId="0" fontId="21" fillId="0" borderId="31" xfId="11" applyNumberFormat="1" applyFont="1" applyFill="1" applyBorder="1" applyAlignment="1">
      <alignment horizontal="left" vertical="center"/>
    </xf>
    <xf numFmtId="177" fontId="21" fillId="0" borderId="31" xfId="11" applyNumberFormat="1" applyFont="1" applyFill="1" applyBorder="1" applyAlignment="1">
      <alignment horizontal="right" vertical="center"/>
    </xf>
    <xf numFmtId="9" fontId="21" fillId="0" borderId="31" xfId="11" applyNumberFormat="1" applyFont="1" applyFill="1" applyBorder="1" applyAlignment="1">
      <alignment horizontal="center" vertical="center"/>
    </xf>
    <xf numFmtId="189" fontId="21" fillId="0" borderId="31" xfId="11" applyNumberFormat="1" applyFont="1" applyFill="1" applyBorder="1" applyAlignment="1">
      <alignment horizontal="right" vertical="center"/>
    </xf>
    <xf numFmtId="178" fontId="21" fillId="0" borderId="34" xfId="288" applyNumberFormat="1" applyFont="1" applyFill="1" applyBorder="1" applyAlignment="1">
      <alignment horizontal="right" vertical="center"/>
    </xf>
    <xf numFmtId="191" fontId="21" fillId="0" borderId="0" xfId="9" applyNumberFormat="1" applyFont="1" applyFill="1" applyBorder="1" applyAlignment="1">
      <alignment horizontal="right" vertical="center"/>
    </xf>
    <xf numFmtId="0" fontId="21" fillId="0" borderId="24" xfId="11" applyNumberFormat="1" applyFont="1" applyFill="1" applyBorder="1">
      <alignment vertical="center"/>
    </xf>
    <xf numFmtId="0" fontId="21" fillId="0" borderId="41" xfId="11" applyNumberFormat="1" applyFont="1" applyFill="1" applyBorder="1">
      <alignment vertical="center"/>
    </xf>
    <xf numFmtId="0" fontId="21" fillId="0" borderId="36" xfId="11" applyNumberFormat="1" applyFont="1" applyFill="1" applyBorder="1">
      <alignment vertical="center"/>
    </xf>
    <xf numFmtId="0" fontId="21" fillId="0" borderId="24" xfId="11" applyNumberFormat="1" applyFont="1" applyFill="1" applyBorder="1" applyAlignment="1">
      <alignment vertical="center"/>
    </xf>
    <xf numFmtId="184" fontId="21" fillId="0" borderId="31" xfId="11" applyNumberFormat="1" applyFont="1" applyFill="1" applyBorder="1" applyAlignment="1">
      <alignment horizontal="right" vertical="center"/>
    </xf>
    <xf numFmtId="177" fontId="21" fillId="0" borderId="31" xfId="11" applyNumberFormat="1" applyFont="1" applyFill="1" applyBorder="1" applyAlignment="1">
      <alignment vertical="center"/>
    </xf>
    <xf numFmtId="0" fontId="21" fillId="0" borderId="41" xfId="11" applyNumberFormat="1" applyFont="1" applyFill="1" applyBorder="1" applyAlignment="1">
      <alignment vertical="center"/>
    </xf>
    <xf numFmtId="187" fontId="21" fillId="0" borderId="0" xfId="11" applyNumberFormat="1" applyFont="1" applyFill="1" applyBorder="1" applyAlignment="1">
      <alignment horizontal="right" vertical="center"/>
    </xf>
    <xf numFmtId="187" fontId="25" fillId="0" borderId="0" xfId="11" applyNumberFormat="1" applyFont="1" applyFill="1" applyBorder="1" applyAlignment="1">
      <alignment horizontal="right" vertical="center"/>
    </xf>
    <xf numFmtId="178" fontId="21" fillId="0" borderId="33" xfId="288" applyNumberFormat="1" applyFont="1" applyFill="1" applyBorder="1" applyAlignment="1">
      <alignment horizontal="right" vertical="center"/>
    </xf>
    <xf numFmtId="0" fontId="21" fillId="0" borderId="16" xfId="11" applyNumberFormat="1" applyFont="1" applyFill="1" applyBorder="1" applyAlignment="1">
      <alignment vertical="center" wrapText="1"/>
    </xf>
    <xf numFmtId="191" fontId="21" fillId="0" borderId="16" xfId="11" applyNumberFormat="1" applyFont="1" applyFill="1" applyBorder="1" applyAlignment="1">
      <alignment horizontal="right" vertical="center" wrapText="1"/>
    </xf>
    <xf numFmtId="0" fontId="21" fillId="0" borderId="25" xfId="11" applyNumberFormat="1" applyFont="1" applyFill="1" applyBorder="1" applyAlignment="1">
      <alignment vertical="center"/>
    </xf>
    <xf numFmtId="177" fontId="21" fillId="0" borderId="37" xfId="11" applyNumberFormat="1" applyFont="1" applyFill="1" applyBorder="1" applyAlignment="1">
      <alignment horizontal="right" vertical="center"/>
    </xf>
    <xf numFmtId="187" fontId="21" fillId="0" borderId="37" xfId="11" applyNumberFormat="1" applyFont="1" applyFill="1" applyBorder="1" applyAlignment="1">
      <alignment horizontal="right" vertical="center"/>
    </xf>
    <xf numFmtId="187" fontId="25" fillId="0" borderId="37" xfId="11" applyNumberFormat="1" applyFont="1" applyFill="1" applyBorder="1" applyAlignment="1">
      <alignment horizontal="right" vertical="center"/>
    </xf>
    <xf numFmtId="189" fontId="21" fillId="0" borderId="37" xfId="11" applyNumberFormat="1" applyFont="1" applyFill="1" applyBorder="1" applyAlignment="1">
      <alignment horizontal="right" vertical="center"/>
    </xf>
    <xf numFmtId="178" fontId="21" fillId="0" borderId="39" xfId="288" applyNumberFormat="1" applyFont="1" applyFill="1" applyBorder="1" applyAlignment="1">
      <alignment horizontal="right" vertical="center"/>
    </xf>
    <xf numFmtId="0" fontId="24" fillId="0" borderId="18" xfId="11" applyNumberFormat="1" applyFont="1" applyFill="1" applyBorder="1">
      <alignment vertical="center"/>
    </xf>
    <xf numFmtId="178" fontId="24" fillId="0" borderId="39" xfId="288" applyNumberFormat="1" applyFont="1" applyFill="1" applyBorder="1" applyAlignment="1">
      <alignment horizontal="right" vertical="center"/>
    </xf>
    <xf numFmtId="0" fontId="24" fillId="0" borderId="20" xfId="11" applyNumberFormat="1" applyFont="1" applyFill="1" applyBorder="1" applyAlignment="1">
      <alignment horizontal="center" vertical="center" wrapText="1"/>
    </xf>
    <xf numFmtId="0" fontId="21" fillId="0" borderId="26" xfId="11" applyNumberFormat="1" applyFont="1" applyFill="1" applyBorder="1" applyAlignment="1">
      <alignment horizontal="center" vertical="center" wrapText="1"/>
    </xf>
    <xf numFmtId="0" fontId="21" fillId="0" borderId="31" xfId="11" applyNumberFormat="1" applyFont="1" applyFill="1" applyBorder="1" applyAlignment="1">
      <alignment vertical="center"/>
    </xf>
    <xf numFmtId="202" fontId="21" fillId="0" borderId="2" xfId="11" applyNumberFormat="1" applyFont="1" applyFill="1" applyBorder="1" applyAlignment="1">
      <alignment horizontal="right" vertical="center"/>
    </xf>
    <xf numFmtId="178" fontId="21" fillId="0" borderId="32" xfId="11" applyNumberFormat="1" applyFont="1" applyFill="1" applyBorder="1" applyAlignment="1">
      <alignment horizontal="right" vertical="center"/>
    </xf>
    <xf numFmtId="0" fontId="24" fillId="0" borderId="21" xfId="11" applyNumberFormat="1" applyFont="1" applyFill="1" applyBorder="1" applyAlignment="1">
      <alignment horizontal="center" vertical="center" wrapText="1"/>
    </xf>
    <xf numFmtId="180" fontId="21" fillId="0" borderId="2" xfId="11" applyNumberFormat="1" applyFont="1" applyFill="1" applyBorder="1" applyAlignment="1">
      <alignment horizontal="right" vertical="center"/>
    </xf>
    <xf numFmtId="0" fontId="24" fillId="0" borderId="18" xfId="11" applyNumberFormat="1" applyFont="1" applyFill="1" applyBorder="1" applyAlignment="1">
      <alignment horizontal="center" vertical="center" wrapText="1"/>
    </xf>
    <xf numFmtId="0" fontId="21" fillId="0" borderId="16" xfId="11" applyNumberFormat="1" applyFont="1" applyFill="1" applyBorder="1">
      <alignment vertical="center"/>
    </xf>
    <xf numFmtId="0" fontId="24" fillId="0" borderId="19" xfId="11" applyNumberFormat="1" applyFont="1" applyFill="1" applyBorder="1" applyAlignment="1">
      <alignment horizontal="left" vertical="center"/>
    </xf>
    <xf numFmtId="0" fontId="21" fillId="0" borderId="17" xfId="11" applyNumberFormat="1" applyFont="1" applyFill="1" applyBorder="1">
      <alignment vertical="center"/>
    </xf>
    <xf numFmtId="178" fontId="24" fillId="0" borderId="32" xfId="288" applyNumberFormat="1" applyFont="1" applyFill="1" applyBorder="1" applyAlignment="1">
      <alignment horizontal="right" vertical="center"/>
    </xf>
    <xf numFmtId="0" fontId="24" fillId="0" borderId="20" xfId="11" applyNumberFormat="1" applyFont="1" applyFill="1" applyBorder="1">
      <alignment vertical="center"/>
    </xf>
    <xf numFmtId="0" fontId="24" fillId="0" borderId="27" xfId="11" applyNumberFormat="1" applyFont="1" applyFill="1" applyBorder="1">
      <alignment vertical="center"/>
    </xf>
    <xf numFmtId="0" fontId="21" fillId="0" borderId="28" xfId="11" applyNumberFormat="1" applyFont="1" applyFill="1" applyBorder="1" applyAlignment="1">
      <alignment vertical="center" wrapText="1"/>
    </xf>
    <xf numFmtId="0" fontId="21" fillId="0" borderId="30" xfId="11" applyNumberFormat="1" applyFont="1" applyFill="1" applyBorder="1" applyAlignment="1">
      <alignment vertical="center"/>
    </xf>
    <xf numFmtId="191" fontId="30" fillId="0" borderId="23" xfId="11" applyNumberFormat="1" applyFont="1" applyFill="1" applyBorder="1" applyAlignment="1">
      <alignment vertical="center"/>
    </xf>
    <xf numFmtId="191" fontId="31" fillId="0" borderId="23" xfId="13" applyNumberFormat="1" applyFont="1" applyFill="1" applyBorder="1" applyAlignment="1">
      <alignment horizontal="right" vertical="center"/>
    </xf>
    <xf numFmtId="3" fontId="30" fillId="0" borderId="23" xfId="11" applyNumberFormat="1" applyFont="1" applyFill="1" applyBorder="1" applyAlignment="1">
      <alignment vertical="center"/>
    </xf>
    <xf numFmtId="191" fontId="30" fillId="0" borderId="36" xfId="13" applyNumberFormat="1" applyFont="1" applyFill="1" applyBorder="1" applyAlignment="1">
      <alignment horizontal="right" vertical="center"/>
    </xf>
    <xf numFmtId="191" fontId="30" fillId="0" borderId="23" xfId="13" applyNumberFormat="1" applyFont="1" applyFill="1" applyBorder="1" applyAlignment="1">
      <alignment horizontal="right" vertical="center"/>
    </xf>
    <xf numFmtId="177" fontId="21" fillId="0" borderId="0" xfId="11" applyNumberFormat="1" applyFont="1" applyFill="1" applyBorder="1" applyAlignment="1">
      <alignment vertical="center"/>
    </xf>
    <xf numFmtId="195" fontId="21" fillId="0" borderId="0" xfId="11" applyNumberFormat="1" applyFont="1" applyFill="1" applyBorder="1" applyAlignment="1">
      <alignment vertical="center"/>
    </xf>
    <xf numFmtId="0" fontId="29" fillId="0" borderId="19" xfId="11" applyNumberFormat="1" applyFont="1" applyFill="1" applyBorder="1" applyAlignment="1">
      <alignment vertical="center" wrapText="1"/>
    </xf>
    <xf numFmtId="191" fontId="21" fillId="0" borderId="31" xfId="9" applyNumberFormat="1" applyFont="1" applyFill="1" applyBorder="1" applyAlignment="1">
      <alignment horizontal="right" vertical="center"/>
    </xf>
    <xf numFmtId="0" fontId="21" fillId="0" borderId="36" xfId="11" applyNumberFormat="1" applyFont="1" applyFill="1" applyBorder="1" applyAlignment="1">
      <alignment vertical="center"/>
    </xf>
    <xf numFmtId="0" fontId="21" fillId="0" borderId="2" xfId="11" quotePrefix="1" applyNumberFormat="1" applyFont="1" applyFill="1" applyBorder="1" applyAlignment="1">
      <alignment vertical="center"/>
    </xf>
    <xf numFmtId="177" fontId="21" fillId="0" borderId="2" xfId="11" applyNumberFormat="1" applyFont="1" applyFill="1" applyBorder="1" applyAlignment="1">
      <alignment vertical="center"/>
    </xf>
    <xf numFmtId="197" fontId="21" fillId="0" borderId="32" xfId="11" applyNumberFormat="1" applyFont="1" applyFill="1" applyBorder="1" applyAlignment="1">
      <alignment horizontal="right" vertical="center"/>
    </xf>
    <xf numFmtId="0" fontId="21" fillId="0" borderId="22" xfId="11" applyNumberFormat="1" applyFont="1" applyFill="1" applyBorder="1" applyAlignment="1">
      <alignment vertical="center" wrapText="1"/>
    </xf>
    <xf numFmtId="197" fontId="24" fillId="0" borderId="32" xfId="11" applyNumberFormat="1" applyFont="1" applyFill="1" applyBorder="1" applyAlignment="1">
      <alignment horizontal="right" vertical="center"/>
    </xf>
    <xf numFmtId="178" fontId="24" fillId="0" borderId="34" xfId="11" applyNumberFormat="1" applyFont="1" applyFill="1" applyBorder="1" applyAlignment="1">
      <alignment horizontal="right" vertical="center"/>
    </xf>
    <xf numFmtId="191" fontId="24" fillId="0" borderId="23" xfId="11" applyNumberFormat="1" applyFont="1" applyFill="1" applyBorder="1" applyAlignment="1">
      <alignment horizontal="right" vertical="center" wrapText="1"/>
    </xf>
    <xf numFmtId="0" fontId="21" fillId="0" borderId="21" xfId="11" applyNumberFormat="1" applyFont="1" applyFill="1" applyBorder="1" applyAlignment="1">
      <alignment horizontal="center" vertical="center"/>
    </xf>
    <xf numFmtId="177" fontId="21" fillId="0" borderId="37" xfId="11" applyNumberFormat="1" applyFont="1" applyFill="1" applyBorder="1" applyAlignment="1">
      <alignment horizontal="center" vertical="center"/>
    </xf>
    <xf numFmtId="186" fontId="21" fillId="0" borderId="37" xfId="11" applyNumberFormat="1" applyFont="1" applyFill="1" applyBorder="1" applyAlignment="1">
      <alignment horizontal="right" vertical="center"/>
    </xf>
    <xf numFmtId="178" fontId="24" fillId="0" borderId="39" xfId="11" applyNumberFormat="1" applyFont="1" applyFill="1" applyBorder="1" applyAlignment="1">
      <alignment horizontal="right" vertical="center"/>
    </xf>
    <xf numFmtId="0" fontId="21" fillId="0" borderId="21" xfId="11" applyNumberFormat="1" applyFont="1" applyFill="1" applyBorder="1">
      <alignment vertical="center"/>
    </xf>
    <xf numFmtId="177" fontId="21" fillId="0" borderId="31" xfId="289" applyNumberFormat="1" applyFont="1" applyFill="1" applyBorder="1" applyAlignment="1">
      <alignment horizontal="right" vertical="center" shrinkToFit="1"/>
    </xf>
    <xf numFmtId="179" fontId="21" fillId="0" borderId="31" xfId="289" applyNumberFormat="1" applyFont="1" applyFill="1" applyBorder="1" applyAlignment="1">
      <alignment horizontal="right" vertical="center" shrinkToFit="1"/>
    </xf>
    <xf numFmtId="183" fontId="21" fillId="0" borderId="31" xfId="289" applyNumberFormat="1" applyFont="1" applyFill="1" applyBorder="1" applyAlignment="1">
      <alignment horizontal="right" vertical="center" shrinkToFit="1"/>
    </xf>
    <xf numFmtId="180" fontId="21" fillId="0" borderId="31" xfId="289" applyNumberFormat="1" applyFont="1" applyFill="1" applyBorder="1" applyAlignment="1">
      <alignment horizontal="right" vertical="center" shrinkToFit="1"/>
    </xf>
    <xf numFmtId="178" fontId="24" fillId="0" borderId="34" xfId="289" applyNumberFormat="1" applyFont="1" applyFill="1" applyBorder="1" applyAlignment="1">
      <alignment horizontal="right" vertical="center" shrinkToFit="1"/>
    </xf>
    <xf numFmtId="0" fontId="25" fillId="0" borderId="19" xfId="11" applyNumberFormat="1" applyFont="1" applyFill="1" applyBorder="1" applyAlignment="1">
      <alignment vertical="center" wrapText="1"/>
    </xf>
    <xf numFmtId="190" fontId="21" fillId="0" borderId="34" xfId="11" applyNumberFormat="1" applyFont="1" applyFill="1" applyBorder="1" applyAlignment="1">
      <alignment horizontal="right" vertical="center"/>
    </xf>
    <xf numFmtId="0" fontId="24" fillId="0" borderId="36" xfId="11" applyNumberFormat="1" applyFont="1" applyFill="1" applyBorder="1">
      <alignment vertical="center"/>
    </xf>
    <xf numFmtId="0" fontId="24" fillId="0" borderId="23" xfId="11" applyNumberFormat="1" applyFont="1" applyFill="1" applyBorder="1" applyAlignment="1">
      <alignment vertical="center" wrapText="1"/>
    </xf>
    <xf numFmtId="0" fontId="24" fillId="0" borderId="23" xfId="11" applyNumberFormat="1" applyFont="1" applyFill="1" applyBorder="1">
      <alignment vertical="center"/>
    </xf>
    <xf numFmtId="189" fontId="21" fillId="0" borderId="0" xfId="11" applyNumberFormat="1" applyFont="1" applyFill="1" applyBorder="1" applyAlignment="1">
      <alignment horizontal="center" vertical="center"/>
    </xf>
    <xf numFmtId="0" fontId="24" fillId="0" borderId="21" xfId="11" applyNumberFormat="1" applyFont="1" applyFill="1" applyBorder="1" applyAlignment="1">
      <alignment vertical="center"/>
    </xf>
    <xf numFmtId="191" fontId="21" fillId="0" borderId="23" xfId="9" applyNumberFormat="1" applyFont="1" applyFill="1" applyBorder="1" applyAlignment="1">
      <alignment vertical="center"/>
    </xf>
    <xf numFmtId="178" fontId="24" fillId="0" borderId="34" xfId="11" applyNumberFormat="1" applyFont="1" applyFill="1" applyBorder="1" applyAlignment="1">
      <alignment vertical="center"/>
    </xf>
    <xf numFmtId="178" fontId="24" fillId="0" borderId="33" xfId="11" applyNumberFormat="1" applyFont="1" applyFill="1" applyBorder="1" applyAlignment="1">
      <alignment vertical="center"/>
    </xf>
    <xf numFmtId="0" fontId="21" fillId="0" borderId="37" xfId="11" applyNumberFormat="1" applyFont="1" applyFill="1" applyBorder="1" applyAlignment="1">
      <alignment horizontal="left" vertical="center"/>
    </xf>
    <xf numFmtId="178" fontId="21" fillId="0" borderId="39" xfId="11" applyNumberFormat="1" applyFont="1" applyFill="1" applyBorder="1" applyAlignment="1">
      <alignment horizontal="right" vertical="center"/>
    </xf>
    <xf numFmtId="191" fontId="21" fillId="0" borderId="22" xfId="11" applyNumberFormat="1" applyFont="1" applyFill="1" applyBorder="1" applyAlignment="1">
      <alignment horizontal="right" vertical="center" wrapText="1"/>
    </xf>
    <xf numFmtId="9" fontId="21" fillId="0" borderId="0" xfId="11" applyNumberFormat="1" applyFont="1" applyFill="1" applyBorder="1" applyAlignment="1">
      <alignment vertical="center"/>
    </xf>
    <xf numFmtId="191" fontId="24" fillId="0" borderId="23" xfId="9" applyNumberFormat="1" applyFont="1" applyFill="1" applyBorder="1" applyAlignment="1">
      <alignment horizontal="right" vertical="center"/>
    </xf>
    <xf numFmtId="191" fontId="24" fillId="0" borderId="23" xfId="11" applyNumberFormat="1" applyFont="1" applyFill="1" applyBorder="1" applyAlignment="1">
      <alignment horizontal="right" vertical="center"/>
    </xf>
    <xf numFmtId="187" fontId="29" fillId="0" borderId="0" xfId="11" applyNumberFormat="1" applyFont="1" applyFill="1" applyBorder="1" applyAlignment="1">
      <alignment horizontal="right" vertical="center"/>
    </xf>
    <xf numFmtId="184" fontId="21" fillId="0" borderId="0" xfId="11" applyNumberFormat="1" applyFont="1" applyFill="1" applyBorder="1" applyAlignment="1">
      <alignment vertical="center"/>
    </xf>
    <xf numFmtId="184" fontId="21" fillId="0" borderId="37" xfId="11" applyNumberFormat="1" applyFont="1" applyFill="1" applyBorder="1" applyAlignment="1">
      <alignment vertical="center"/>
    </xf>
    <xf numFmtId="191" fontId="21" fillId="0" borderId="47" xfId="9" applyNumberFormat="1" applyFont="1" applyFill="1" applyBorder="1" applyAlignment="1">
      <alignment horizontal="right" vertical="center"/>
    </xf>
    <xf numFmtId="178" fontId="21" fillId="0" borderId="0" xfId="289" applyNumberFormat="1" applyFont="1" applyFill="1" applyBorder="1" applyAlignment="1">
      <alignment vertical="center" shrinkToFit="1"/>
    </xf>
    <xf numFmtId="187" fontId="21" fillId="0" borderId="2" xfId="11" applyNumberFormat="1" applyFont="1" applyFill="1" applyBorder="1" applyAlignment="1">
      <alignment horizontal="right" vertical="center"/>
    </xf>
    <xf numFmtId="184" fontId="21" fillId="0" borderId="2" xfId="11" applyNumberFormat="1" applyFont="1" applyFill="1" applyBorder="1" applyAlignment="1">
      <alignment vertical="center"/>
    </xf>
    <xf numFmtId="180" fontId="21" fillId="0" borderId="0" xfId="11" applyNumberFormat="1" applyFont="1" applyFill="1" applyBorder="1" applyAlignment="1">
      <alignment horizontal="right" vertical="center"/>
    </xf>
    <xf numFmtId="178" fontId="21" fillId="0" borderId="48" xfId="289" applyNumberFormat="1" applyFont="1" applyFill="1" applyBorder="1" applyAlignment="1">
      <alignment horizontal="center" vertical="center" shrinkToFit="1"/>
    </xf>
    <xf numFmtId="181" fontId="21" fillId="0" borderId="0" xfId="11" applyNumberFormat="1" applyFont="1" applyFill="1" applyBorder="1" applyAlignment="1">
      <alignment horizontal="right" vertical="center"/>
    </xf>
    <xf numFmtId="178" fontId="21" fillId="0" borderId="49" xfId="289" applyNumberFormat="1" applyFont="1" applyFill="1" applyBorder="1" applyAlignment="1">
      <alignment horizontal="center" vertical="center" shrinkToFit="1"/>
    </xf>
    <xf numFmtId="181" fontId="21" fillId="0" borderId="2" xfId="11" applyNumberFormat="1" applyFont="1" applyFill="1" applyBorder="1" applyAlignment="1">
      <alignment vertical="center"/>
    </xf>
    <xf numFmtId="0" fontId="25" fillId="0" borderId="23" xfId="11" applyNumberFormat="1" applyFont="1" applyFill="1" applyBorder="1" applyAlignment="1">
      <alignment vertical="center" wrapText="1"/>
    </xf>
    <xf numFmtId="0" fontId="25" fillId="0" borderId="22" xfId="11" applyNumberFormat="1" applyFont="1" applyFill="1" applyBorder="1" applyAlignment="1">
      <alignment horizontal="left" vertical="center"/>
    </xf>
    <xf numFmtId="178" fontId="21" fillId="0" borderId="0" xfId="11" applyNumberFormat="1" applyFont="1" applyFill="1" applyBorder="1" applyAlignment="1">
      <alignment horizontal="center" vertical="center"/>
    </xf>
    <xf numFmtId="188" fontId="21" fillId="0" borderId="0" xfId="11" applyNumberFormat="1" applyFont="1" applyFill="1" applyBorder="1" applyAlignment="1">
      <alignment vertical="center"/>
    </xf>
    <xf numFmtId="0" fontId="21" fillId="0" borderId="23" xfId="260" applyNumberFormat="1" applyFont="1" applyFill="1" applyBorder="1" applyAlignment="1">
      <alignment vertical="center"/>
    </xf>
    <xf numFmtId="0" fontId="21" fillId="0" borderId="19" xfId="260" applyNumberFormat="1" applyFont="1" applyFill="1" applyBorder="1" applyAlignment="1">
      <alignment vertical="center"/>
    </xf>
    <xf numFmtId="177" fontId="21" fillId="0" borderId="0" xfId="260" applyNumberFormat="1" applyFont="1" applyFill="1" applyBorder="1" applyAlignment="1">
      <alignment horizontal="center" vertical="center"/>
    </xf>
    <xf numFmtId="177" fontId="21" fillId="0" borderId="0" xfId="260" applyNumberFormat="1" applyFont="1" applyFill="1" applyBorder="1" applyAlignment="1">
      <alignment horizontal="right" vertical="center"/>
    </xf>
    <xf numFmtId="0" fontId="21" fillId="0" borderId="41" xfId="260" applyNumberFormat="1" applyFont="1" applyFill="1" applyBorder="1">
      <alignment vertical="center"/>
    </xf>
    <xf numFmtId="0" fontId="21" fillId="0" borderId="23" xfId="260" applyNumberFormat="1" applyFont="1" applyFill="1" applyBorder="1" applyAlignment="1">
      <alignment horizontal="left" vertical="center"/>
    </xf>
    <xf numFmtId="189" fontId="21" fillId="0" borderId="0" xfId="260" applyNumberFormat="1" applyFont="1" applyFill="1" applyBorder="1" applyAlignment="1">
      <alignment horizontal="center" vertical="center"/>
    </xf>
    <xf numFmtId="189" fontId="21" fillId="0" borderId="0" xfId="260" applyNumberFormat="1" applyFont="1" applyFill="1" applyBorder="1">
      <alignment vertical="center"/>
    </xf>
    <xf numFmtId="177" fontId="21" fillId="0" borderId="0" xfId="260" applyNumberFormat="1" applyFont="1" applyFill="1" applyBorder="1" applyAlignment="1">
      <alignment vertical="center"/>
    </xf>
    <xf numFmtId="191" fontId="21" fillId="0" borderId="19" xfId="260" applyNumberFormat="1" applyFont="1" applyFill="1" applyBorder="1" applyAlignment="1">
      <alignment horizontal="right" vertical="center"/>
    </xf>
    <xf numFmtId="0" fontId="21" fillId="0" borderId="19" xfId="260" applyNumberFormat="1" applyFont="1" applyFill="1" applyBorder="1" applyAlignment="1">
      <alignment horizontal="left" vertical="center"/>
    </xf>
    <xf numFmtId="0" fontId="21" fillId="0" borderId="23" xfId="260" applyNumberFormat="1" applyFont="1" applyFill="1" applyBorder="1" applyAlignment="1">
      <alignment vertical="center" wrapText="1"/>
    </xf>
    <xf numFmtId="0" fontId="21" fillId="0" borderId="35" xfId="260" applyNumberFormat="1" applyFont="1" applyFill="1" applyBorder="1">
      <alignment vertical="center"/>
    </xf>
    <xf numFmtId="0" fontId="25" fillId="0" borderId="19" xfId="260" applyNumberFormat="1" applyFont="1" applyFill="1" applyBorder="1" applyAlignment="1">
      <alignment horizontal="left" vertical="center" wrapText="1"/>
    </xf>
    <xf numFmtId="0" fontId="21" fillId="0" borderId="41" xfId="260" applyNumberFormat="1" applyFont="1" applyFill="1" applyBorder="1" applyAlignment="1">
      <alignment vertical="center" wrapText="1"/>
    </xf>
    <xf numFmtId="0" fontId="21" fillId="0" borderId="23" xfId="260" applyNumberFormat="1" applyFont="1" applyFill="1" applyBorder="1" applyAlignment="1">
      <alignment horizontal="left" vertical="center" wrapText="1"/>
    </xf>
    <xf numFmtId="0" fontId="21" fillId="0" borderId="19" xfId="260" applyNumberFormat="1" applyFont="1" applyFill="1" applyBorder="1" applyAlignment="1">
      <alignment horizontal="left" vertical="center" wrapText="1"/>
    </xf>
    <xf numFmtId="0" fontId="21" fillId="0" borderId="21" xfId="260" applyNumberFormat="1" applyFont="1" applyFill="1" applyBorder="1">
      <alignment vertical="center"/>
    </xf>
    <xf numFmtId="0" fontId="21" fillId="0" borderId="19" xfId="260" applyNumberFormat="1" applyFont="1" applyFill="1" applyBorder="1" applyAlignment="1">
      <alignment horizontal="center" vertical="center"/>
    </xf>
    <xf numFmtId="0" fontId="21" fillId="0" borderId="17" xfId="260" applyNumberFormat="1" applyFont="1" applyFill="1" applyBorder="1" applyAlignment="1">
      <alignment vertical="center" wrapText="1"/>
    </xf>
    <xf numFmtId="0" fontId="21" fillId="0" borderId="43" xfId="260" applyNumberFormat="1" applyFont="1" applyFill="1" applyBorder="1">
      <alignment vertical="center"/>
    </xf>
    <xf numFmtId="0" fontId="21" fillId="0" borderId="20" xfId="260" applyNumberFormat="1" applyFont="1" applyFill="1" applyBorder="1">
      <alignment vertical="center"/>
    </xf>
    <xf numFmtId="206" fontId="24" fillId="25" borderId="0" xfId="261" quotePrefix="1" applyNumberFormat="1" applyFont="1" applyFill="1" applyBorder="1">
      <alignment vertical="center"/>
    </xf>
    <xf numFmtId="0" fontId="21" fillId="25" borderId="0" xfId="261" applyNumberFormat="1" applyFont="1" applyFill="1" applyBorder="1" applyAlignment="1">
      <alignment horizontal="center" vertical="center" wrapText="1"/>
    </xf>
    <xf numFmtId="181" fontId="21" fillId="25" borderId="0" xfId="261" applyNumberFormat="1" applyFont="1" applyFill="1" applyBorder="1" applyAlignment="1">
      <alignment vertical="center" wrapText="1"/>
    </xf>
    <xf numFmtId="177" fontId="21" fillId="25" borderId="0" xfId="261" applyNumberFormat="1" applyFont="1" applyFill="1" applyBorder="1" applyAlignment="1">
      <alignment vertical="center" wrapText="1"/>
    </xf>
    <xf numFmtId="0" fontId="21" fillId="25" borderId="0" xfId="261" applyNumberFormat="1" applyFont="1" applyFill="1" applyBorder="1">
      <alignment vertical="center"/>
    </xf>
    <xf numFmtId="0" fontId="21" fillId="25" borderId="0" xfId="261" applyNumberFormat="1" applyFont="1" applyFill="1" applyBorder="1" applyAlignment="1">
      <alignment horizontal="left" vertical="center"/>
    </xf>
    <xf numFmtId="0" fontId="21" fillId="25" borderId="31" xfId="261" applyNumberFormat="1" applyFont="1" applyFill="1" applyBorder="1" applyAlignment="1">
      <alignment horizontal="center" vertical="center" wrapText="1"/>
    </xf>
    <xf numFmtId="181" fontId="21" fillId="25" borderId="31" xfId="261" applyNumberFormat="1" applyFont="1" applyFill="1" applyBorder="1" applyAlignment="1">
      <alignment vertical="center" wrapText="1"/>
    </xf>
    <xf numFmtId="0" fontId="21" fillId="25" borderId="24" xfId="261" applyNumberFormat="1" applyFont="1" applyFill="1" applyBorder="1">
      <alignment vertical="center"/>
    </xf>
    <xf numFmtId="0" fontId="21" fillId="25" borderId="22" xfId="261" applyNumberFormat="1" applyFont="1" applyFill="1" applyBorder="1" applyAlignment="1">
      <alignment horizontal="left" vertical="center"/>
    </xf>
    <xf numFmtId="0" fontId="21" fillId="25" borderId="23" xfId="261" applyNumberFormat="1" applyFont="1" applyFill="1" applyBorder="1" applyAlignment="1">
      <alignment horizontal="left" vertical="center"/>
    </xf>
    <xf numFmtId="0" fontId="21" fillId="25" borderId="21" xfId="261" applyNumberFormat="1" applyFont="1" applyFill="1" applyBorder="1" applyAlignment="1">
      <alignment horizontal="left" vertical="center"/>
    </xf>
    <xf numFmtId="206" fontId="24" fillId="25" borderId="33" xfId="261" quotePrefix="1" applyNumberFormat="1" applyFont="1" applyFill="1" applyBorder="1">
      <alignment vertical="center"/>
    </xf>
    <xf numFmtId="0" fontId="21" fillId="25" borderId="41" xfId="261" applyNumberFormat="1" applyFont="1" applyFill="1" applyBorder="1">
      <alignment vertical="center"/>
    </xf>
    <xf numFmtId="41" fontId="21" fillId="25" borderId="23" xfId="9" quotePrefix="1" applyNumberFormat="1" applyFont="1" applyFill="1" applyBorder="1" applyAlignment="1">
      <alignment horizontal="right" vertical="center"/>
    </xf>
    <xf numFmtId="41" fontId="21" fillId="25" borderId="23" xfId="9" applyNumberFormat="1" applyFont="1" applyFill="1" applyBorder="1" applyAlignment="1">
      <alignment horizontal="right" vertical="center"/>
    </xf>
    <xf numFmtId="206" fontId="24" fillId="25" borderId="34" xfId="261" quotePrefix="1" applyNumberFormat="1" applyFont="1" applyFill="1" applyBorder="1">
      <alignment vertical="center"/>
    </xf>
    <xf numFmtId="189" fontId="1" fillId="25" borderId="12" xfId="261" applyNumberFormat="1" applyFill="1" applyBorder="1" applyAlignment="1">
      <alignment vertical="center"/>
    </xf>
    <xf numFmtId="177" fontId="1" fillId="25" borderId="12" xfId="261" applyNumberFormat="1" applyFill="1" applyBorder="1" applyAlignment="1">
      <alignment horizontal="center" vertical="center"/>
    </xf>
    <xf numFmtId="9" fontId="1" fillId="25" borderId="12" xfId="261" applyNumberFormat="1" applyFill="1" applyBorder="1" applyAlignment="1">
      <alignment vertical="center"/>
    </xf>
    <xf numFmtId="177" fontId="32" fillId="25" borderId="12" xfId="261" applyNumberFormat="1" applyFont="1" applyFill="1" applyBorder="1" applyAlignment="1">
      <alignment vertical="center"/>
    </xf>
    <xf numFmtId="0" fontId="33" fillId="25" borderId="12" xfId="261" applyNumberFormat="1" applyFont="1" applyFill="1" applyBorder="1" applyAlignment="1">
      <alignment vertical="center"/>
    </xf>
    <xf numFmtId="0" fontId="28" fillId="25" borderId="12" xfId="261" applyNumberFormat="1" applyFont="1" applyFill="1" applyBorder="1" applyAlignment="1">
      <alignment vertical="center"/>
    </xf>
    <xf numFmtId="0" fontId="1" fillId="25" borderId="12" xfId="261" applyNumberFormat="1" applyFill="1" applyBorder="1" applyAlignment="1">
      <alignment vertical="center"/>
    </xf>
    <xf numFmtId="191" fontId="21" fillId="0" borderId="42" xfId="11" applyNumberFormat="1" applyFont="1" applyFill="1" applyBorder="1" applyAlignment="1">
      <alignment horizontal="right" vertical="center"/>
    </xf>
    <xf numFmtId="191" fontId="21" fillId="0" borderId="26" xfId="11" applyNumberFormat="1" applyFont="1" applyFill="1" applyBorder="1" applyAlignment="1">
      <alignment horizontal="right" vertical="center" wrapText="1"/>
    </xf>
    <xf numFmtId="191" fontId="21" fillId="0" borderId="40" xfId="11" applyNumberFormat="1" applyFont="1" applyFill="1" applyBorder="1" applyAlignment="1">
      <alignment horizontal="right" vertical="center" wrapText="1"/>
    </xf>
    <xf numFmtId="191" fontId="21" fillId="0" borderId="2" xfId="11" applyNumberFormat="1" applyFont="1" applyFill="1" applyBorder="1" applyAlignment="1">
      <alignment horizontal="right" vertical="center"/>
    </xf>
    <xf numFmtId="191" fontId="21" fillId="0" borderId="2" xfId="9" applyNumberFormat="1" applyFont="1" applyFill="1" applyBorder="1" applyAlignment="1">
      <alignment horizontal="right" vertical="center"/>
    </xf>
    <xf numFmtId="41" fontId="21" fillId="0" borderId="16" xfId="9" applyNumberFormat="1" applyFont="1" applyFill="1" applyBorder="1">
      <alignment vertical="center"/>
    </xf>
    <xf numFmtId="0" fontId="21" fillId="25" borderId="15" xfId="10" applyNumberFormat="1" applyFont="1" applyFill="1" applyBorder="1" applyAlignment="1">
      <alignment vertical="center"/>
    </xf>
    <xf numFmtId="0" fontId="21" fillId="25" borderId="27" xfId="261" applyNumberFormat="1" applyFont="1" applyFill="1" applyBorder="1" applyAlignment="1">
      <alignment horizontal="left" vertical="center"/>
    </xf>
    <xf numFmtId="0" fontId="21" fillId="25" borderId="28" xfId="261" applyNumberFormat="1" applyFont="1" applyFill="1" applyBorder="1" applyAlignment="1">
      <alignment horizontal="left" vertical="center"/>
    </xf>
    <xf numFmtId="178" fontId="21" fillId="25" borderId="12" xfId="289" applyNumberFormat="1" applyFont="1" applyFill="1" applyBorder="1" applyAlignment="1">
      <alignment horizontal="center" vertical="center" shrinkToFit="1"/>
    </xf>
    <xf numFmtId="0" fontId="25" fillId="0" borderId="28" xfId="11" applyNumberFormat="1" applyFont="1" applyFill="1" applyBorder="1" applyAlignment="1">
      <alignment vertical="center" wrapText="1"/>
    </xf>
    <xf numFmtId="0" fontId="25" fillId="0" borderId="29" xfId="11" applyNumberFormat="1" applyFont="1" applyFill="1" applyBorder="1" applyAlignment="1">
      <alignment horizontal="left" vertical="center"/>
    </xf>
    <xf numFmtId="191" fontId="21" fillId="0" borderId="29" xfId="11" applyNumberFormat="1" applyFont="1" applyFill="1" applyBorder="1" applyAlignment="1">
      <alignment horizontal="right" vertical="center"/>
    </xf>
    <xf numFmtId="0" fontId="21" fillId="0" borderId="24" xfId="260" applyNumberFormat="1" applyFont="1" applyFill="1" applyBorder="1" applyAlignment="1" applyProtection="1">
      <alignment vertical="center"/>
    </xf>
    <xf numFmtId="0" fontId="21" fillId="0" borderId="41" xfId="260" applyNumberFormat="1" applyFont="1" applyFill="1" applyBorder="1" applyAlignment="1" applyProtection="1">
      <alignment vertical="center"/>
    </xf>
    <xf numFmtId="0" fontId="21" fillId="0" borderId="50" xfId="260" applyNumberFormat="1" applyFont="1" applyFill="1" applyBorder="1" applyAlignment="1" applyProtection="1">
      <alignment vertical="center"/>
    </xf>
    <xf numFmtId="179" fontId="21" fillId="25" borderId="0" xfId="261" applyNumberFormat="1" applyFont="1" applyFill="1" applyBorder="1" applyAlignment="1">
      <alignment vertical="center" wrapText="1"/>
    </xf>
    <xf numFmtId="206" fontId="24" fillId="25" borderId="0" xfId="261" applyNumberFormat="1" applyFont="1" applyFill="1" applyBorder="1">
      <alignment vertical="center"/>
    </xf>
    <xf numFmtId="41" fontId="21" fillId="25" borderId="28" xfId="9" quotePrefix="1" applyNumberFormat="1" applyFont="1" applyFill="1" applyBorder="1" applyAlignment="1">
      <alignment horizontal="right" vertical="center"/>
    </xf>
    <xf numFmtId="0" fontId="21" fillId="25" borderId="50" xfId="261" applyNumberFormat="1" applyFont="1" applyFill="1" applyBorder="1">
      <alignment vertical="center"/>
    </xf>
    <xf numFmtId="177" fontId="21" fillId="25" borderId="12" xfId="261" applyNumberFormat="1" applyFont="1" applyFill="1" applyBorder="1" applyAlignment="1">
      <alignment vertical="center" wrapText="1"/>
    </xf>
    <xf numFmtId="181" fontId="21" fillId="25" borderId="12" xfId="261" applyNumberFormat="1" applyFont="1" applyFill="1" applyBorder="1" applyAlignment="1">
      <alignment vertical="center" wrapText="1"/>
    </xf>
    <xf numFmtId="0" fontId="21" fillId="25" borderId="12" xfId="261" applyNumberFormat="1" applyFont="1" applyFill="1" applyBorder="1" applyAlignment="1">
      <alignment horizontal="center" vertical="center" wrapText="1"/>
    </xf>
    <xf numFmtId="41" fontId="21" fillId="25" borderId="22" xfId="9" applyNumberFormat="1" applyFont="1" applyFill="1" applyBorder="1" applyAlignment="1">
      <alignment horizontal="right" vertical="center"/>
    </xf>
    <xf numFmtId="177" fontId="21" fillId="25" borderId="31" xfId="261" applyNumberFormat="1" applyFont="1" applyFill="1" applyBorder="1" applyAlignment="1">
      <alignment vertical="center" wrapText="1"/>
    </xf>
    <xf numFmtId="0" fontId="21" fillId="0" borderId="31" xfId="260" applyNumberFormat="1" applyFont="1" applyFill="1" applyBorder="1" applyAlignment="1" applyProtection="1">
      <alignment vertical="center"/>
    </xf>
    <xf numFmtId="0" fontId="21" fillId="0" borderId="0" xfId="260" applyNumberFormat="1" applyFont="1" applyFill="1" applyBorder="1" applyAlignment="1" applyProtection="1">
      <alignment vertical="center"/>
    </xf>
    <xf numFmtId="0" fontId="21" fillId="0" borderId="12" xfId="260" applyNumberFormat="1" applyFont="1" applyFill="1" applyBorder="1" applyAlignment="1" applyProtection="1">
      <alignment vertical="center"/>
    </xf>
    <xf numFmtId="0" fontId="21" fillId="0" borderId="41" xfId="20" applyNumberFormat="1" applyFont="1" applyFill="1" applyBorder="1" applyAlignment="1">
      <alignment horizontal="left" vertical="center"/>
    </xf>
    <xf numFmtId="0" fontId="21" fillId="0" borderId="2" xfId="20" applyNumberFormat="1" applyFont="1" applyFill="1" applyBorder="1" applyAlignment="1">
      <alignment vertical="center"/>
    </xf>
    <xf numFmtId="177" fontId="21" fillId="0" borderId="2" xfId="20" applyNumberFormat="1" applyFont="1" applyFill="1" applyBorder="1" applyAlignment="1">
      <alignment vertical="center"/>
    </xf>
    <xf numFmtId="178" fontId="21" fillId="0" borderId="2" xfId="289" applyNumberFormat="1" applyFont="1" applyFill="1" applyBorder="1" applyAlignment="1">
      <alignment horizontal="center" vertical="center" shrinkToFit="1"/>
    </xf>
    <xf numFmtId="179" fontId="21" fillId="0" borderId="2" xfId="20" applyNumberFormat="1" applyFont="1" applyFill="1" applyBorder="1" applyAlignment="1">
      <alignment vertical="center"/>
    </xf>
    <xf numFmtId="186" fontId="21" fillId="0" borderId="2" xfId="20" applyNumberFormat="1" applyFont="1" applyFill="1" applyBorder="1" applyAlignment="1">
      <alignment vertical="center"/>
    </xf>
    <xf numFmtId="189" fontId="21" fillId="0" borderId="2" xfId="20" applyNumberFormat="1" applyFont="1" applyFill="1" applyBorder="1" applyAlignment="1">
      <alignment vertical="center"/>
    </xf>
    <xf numFmtId="178" fontId="24" fillId="0" borderId="32" xfId="289" applyNumberFormat="1" applyFont="1" applyFill="1" applyBorder="1" applyAlignment="1">
      <alignment horizontal="right" vertical="center" shrinkToFit="1"/>
    </xf>
    <xf numFmtId="0" fontId="21" fillId="0" borderId="41" xfId="20" applyNumberFormat="1" applyFont="1" applyFill="1" applyBorder="1" applyAlignment="1">
      <alignment vertical="center"/>
    </xf>
    <xf numFmtId="177" fontId="21" fillId="0" borderId="12" xfId="11" applyNumberFormat="1" applyFont="1" applyFill="1" applyBorder="1" applyAlignment="1">
      <alignment horizontal="right" vertical="center"/>
    </xf>
    <xf numFmtId="178" fontId="21" fillId="0" borderId="12" xfId="289" applyNumberFormat="1" applyFont="1" applyFill="1" applyBorder="1" applyAlignment="1">
      <alignment horizontal="center" vertical="center" shrinkToFit="1"/>
    </xf>
    <xf numFmtId="194" fontId="21" fillId="0" borderId="12" xfId="11" applyNumberFormat="1" applyFont="1" applyFill="1" applyBorder="1" applyAlignment="1">
      <alignment horizontal="right" vertical="center"/>
    </xf>
    <xf numFmtId="177" fontId="21" fillId="0" borderId="12" xfId="11" applyNumberFormat="1" applyFont="1" applyFill="1" applyBorder="1" applyAlignment="1">
      <alignment horizontal="center" vertical="center"/>
    </xf>
    <xf numFmtId="177" fontId="21" fillId="0" borderId="12" xfId="11" applyNumberFormat="1" applyFont="1" applyFill="1" applyBorder="1" applyAlignment="1">
      <alignment vertical="center"/>
    </xf>
    <xf numFmtId="189" fontId="21" fillId="0" borderId="12" xfId="11" applyNumberFormat="1" applyFont="1" applyFill="1" applyBorder="1" applyAlignment="1">
      <alignment horizontal="right" vertical="center"/>
    </xf>
    <xf numFmtId="178" fontId="24" fillId="0" borderId="51" xfId="288" applyNumberFormat="1" applyFont="1" applyFill="1" applyBorder="1" applyAlignment="1">
      <alignment horizontal="right" vertical="center"/>
    </xf>
    <xf numFmtId="177" fontId="21" fillId="0" borderId="2" xfId="289" applyNumberFormat="1" applyFont="1" applyFill="1" applyBorder="1" applyAlignment="1">
      <alignment horizontal="right" vertical="center" shrinkToFit="1"/>
    </xf>
    <xf numFmtId="179" fontId="21" fillId="0" borderId="2" xfId="11" applyNumberFormat="1" applyFont="1" applyFill="1" applyBorder="1" applyAlignment="1">
      <alignment horizontal="right" vertical="center"/>
    </xf>
    <xf numFmtId="189" fontId="21" fillId="0" borderId="2" xfId="11" applyNumberFormat="1" applyFont="1" applyFill="1" applyBorder="1" applyAlignment="1">
      <alignment horizontal="right" vertical="center"/>
    </xf>
    <xf numFmtId="178" fontId="24" fillId="0" borderId="32" xfId="11" applyNumberFormat="1" applyFont="1" applyFill="1" applyBorder="1" applyAlignment="1">
      <alignment horizontal="right" vertical="center"/>
    </xf>
    <xf numFmtId="0" fontId="21" fillId="0" borderId="37" xfId="20" applyNumberFormat="1" applyFont="1" applyFill="1" applyBorder="1" applyAlignment="1">
      <alignment vertical="center"/>
    </xf>
    <xf numFmtId="177" fontId="21" fillId="0" borderId="37" xfId="20" applyNumberFormat="1" applyFont="1" applyFill="1" applyBorder="1" applyAlignment="1">
      <alignment vertical="center"/>
    </xf>
    <xf numFmtId="177" fontId="21" fillId="0" borderId="37" xfId="20" applyNumberFormat="1" applyFont="1" applyFill="1" applyBorder="1" applyAlignment="1">
      <alignment horizontal="right" vertical="center"/>
    </xf>
    <xf numFmtId="179" fontId="21" fillId="0" borderId="37" xfId="20" applyNumberFormat="1" applyFont="1" applyFill="1" applyBorder="1" applyAlignment="1">
      <alignment vertical="center"/>
    </xf>
    <xf numFmtId="186" fontId="21" fillId="0" borderId="37" xfId="20" applyNumberFormat="1" applyFont="1" applyFill="1" applyBorder="1" applyAlignment="1">
      <alignment vertical="center"/>
    </xf>
    <xf numFmtId="186" fontId="21" fillId="0" borderId="37" xfId="20" applyNumberFormat="1" applyFont="1" applyFill="1" applyBorder="1" applyAlignment="1">
      <alignment horizontal="right" vertical="center"/>
    </xf>
    <xf numFmtId="178" fontId="24" fillId="0" borderId="39" xfId="20" applyNumberFormat="1" applyFont="1" applyFill="1" applyBorder="1" applyAlignment="1">
      <alignment vertical="center"/>
    </xf>
    <xf numFmtId="0" fontId="21" fillId="0" borderId="0" xfId="20" applyNumberFormat="1" applyFont="1" applyFill="1" applyBorder="1" applyAlignment="1">
      <alignment vertical="center"/>
    </xf>
    <xf numFmtId="41" fontId="21" fillId="25" borderId="19" xfId="9" applyNumberFormat="1" applyFont="1" applyFill="1" applyBorder="1" applyAlignment="1">
      <alignment horizontal="center" vertical="center"/>
    </xf>
    <xf numFmtId="41" fontId="21" fillId="25" borderId="16" xfId="9" applyNumberFormat="1" applyFont="1" applyFill="1" applyBorder="1" applyAlignment="1">
      <alignment horizontal="center" vertical="center"/>
    </xf>
    <xf numFmtId="41" fontId="21" fillId="25" borderId="19" xfId="9" applyNumberFormat="1" applyFont="1" applyFill="1" applyBorder="1">
      <alignment vertical="center"/>
    </xf>
    <xf numFmtId="41" fontId="21" fillId="25" borderId="22" xfId="9" applyNumberFormat="1" applyFont="1" applyFill="1" applyBorder="1">
      <alignment vertical="center"/>
    </xf>
    <xf numFmtId="178" fontId="24" fillId="0" borderId="0" xfId="81" applyNumberFormat="1" applyFont="1" applyFill="1" applyBorder="1" applyAlignment="1" applyProtection="1">
      <alignment vertical="center"/>
    </xf>
    <xf numFmtId="41" fontId="0" fillId="0" borderId="0" xfId="288" applyNumberFormat="1" applyFont="1" applyFill="1" applyBorder="1" applyAlignment="1" applyProtection="1">
      <alignment vertical="center"/>
    </xf>
    <xf numFmtId="0" fontId="29" fillId="25" borderId="19" xfId="10" applyNumberFormat="1" applyFont="1" applyFill="1" applyBorder="1" applyAlignment="1" applyProtection="1">
      <alignment horizontal="left" vertical="center" shrinkToFit="1"/>
    </xf>
    <xf numFmtId="178" fontId="21" fillId="0" borderId="2" xfId="11" applyNumberFormat="1" applyFont="1" applyFill="1" applyBorder="1" applyAlignment="1">
      <alignment horizontal="right" vertical="center"/>
    </xf>
    <xf numFmtId="217" fontId="21" fillId="0" borderId="2" xfId="11" applyNumberFormat="1" applyFont="1" applyFill="1" applyBorder="1" applyAlignment="1">
      <alignment horizontal="right" vertical="center"/>
    </xf>
    <xf numFmtId="180" fontId="21" fillId="0" borderId="2" xfId="289" applyNumberFormat="1" applyFont="1" applyFill="1" applyBorder="1" applyAlignment="1">
      <alignment horizontal="center" vertical="center" shrinkToFit="1"/>
    </xf>
    <xf numFmtId="191" fontId="21" fillId="0" borderId="22" xfId="288" applyNumberFormat="1" applyFont="1" applyFill="1" applyBorder="1" applyAlignment="1">
      <alignment horizontal="right" vertical="center"/>
    </xf>
    <xf numFmtId="0" fontId="21" fillId="0" borderId="23" xfId="272" applyNumberFormat="1" applyFont="1" applyFill="1" applyBorder="1">
      <alignment vertical="center"/>
    </xf>
    <xf numFmtId="0" fontId="53" fillId="0" borderId="0" xfId="272" applyNumberFormat="1" applyFill="1" applyBorder="1">
      <alignment vertical="center"/>
    </xf>
    <xf numFmtId="41" fontId="53" fillId="0" borderId="0" xfId="272" applyNumberFormat="1" applyFill="1">
      <alignment vertical="center"/>
    </xf>
    <xf numFmtId="41" fontId="24" fillId="0" borderId="33" xfId="12" applyNumberFormat="1" applyFont="1" applyFill="1" applyBorder="1" applyAlignment="1">
      <alignment horizontal="right" vertical="center"/>
    </xf>
    <xf numFmtId="0" fontId="21" fillId="0" borderId="41" xfId="11" applyNumberFormat="1" applyFont="1" applyFill="1" applyBorder="1" applyAlignment="1">
      <alignment vertical="center" wrapText="1"/>
    </xf>
    <xf numFmtId="179" fontId="21" fillId="0" borderId="0" xfId="289" applyNumberFormat="1" applyFont="1" applyFill="1" applyBorder="1" applyAlignment="1" applyProtection="1">
      <alignment horizontal="center" vertical="center" shrinkToFit="1"/>
    </xf>
    <xf numFmtId="181" fontId="21" fillId="0" borderId="0" xfId="20" applyNumberFormat="1" applyFont="1" applyFill="1" applyBorder="1" applyAlignment="1" applyProtection="1">
      <alignment vertical="center"/>
    </xf>
    <xf numFmtId="41" fontId="24" fillId="0" borderId="33" xfId="20" applyNumberFormat="1" applyFont="1" applyFill="1" applyBorder="1" applyAlignment="1" applyProtection="1">
      <alignment vertical="center"/>
    </xf>
    <xf numFmtId="0" fontId="0" fillId="0" borderId="22" xfId="272" applyNumberFormat="1" applyFont="1" applyFill="1" applyBorder="1">
      <alignment vertical="center"/>
    </xf>
    <xf numFmtId="191" fontId="24" fillId="0" borderId="22" xfId="20" applyNumberFormat="1" applyFont="1" applyFill="1" applyBorder="1" applyAlignment="1">
      <alignment horizontal="right" vertical="center" wrapText="1"/>
    </xf>
    <xf numFmtId="41" fontId="0" fillId="0" borderId="22" xfId="272" applyNumberFormat="1" applyFont="1" applyFill="1" applyBorder="1">
      <alignment vertical="center"/>
    </xf>
    <xf numFmtId="0" fontId="21" fillId="0" borderId="41" xfId="20" applyNumberFormat="1" applyFont="1" applyFill="1" applyBorder="1"/>
    <xf numFmtId="177" fontId="21" fillId="0" borderId="0" xfId="20" applyNumberFormat="1" applyFont="1" applyFill="1" applyBorder="1" applyAlignment="1">
      <alignment vertical="center"/>
    </xf>
    <xf numFmtId="177" fontId="21" fillId="0" borderId="0" xfId="20" applyNumberFormat="1" applyFont="1" applyFill="1" applyBorder="1" applyAlignment="1">
      <alignment horizontal="center" vertical="center"/>
    </xf>
    <xf numFmtId="179" fontId="21" fillId="0" borderId="37" xfId="289" applyNumberFormat="1" applyFont="1" applyFill="1" applyBorder="1" applyAlignment="1" applyProtection="1">
      <alignment horizontal="center" vertical="center" shrinkToFit="1"/>
    </xf>
    <xf numFmtId="178" fontId="21" fillId="0" borderId="37" xfId="289" applyNumberFormat="1" applyFont="1" applyFill="1" applyBorder="1" applyAlignment="1">
      <alignment horizontal="center" vertical="center" shrinkToFit="1"/>
    </xf>
    <xf numFmtId="181" fontId="21" fillId="0" borderId="37" xfId="20" applyNumberFormat="1" applyFont="1" applyFill="1" applyBorder="1" applyAlignment="1" applyProtection="1">
      <alignment vertical="center"/>
    </xf>
    <xf numFmtId="177" fontId="21" fillId="0" borderId="0" xfId="20" applyNumberFormat="1" applyFont="1" applyFill="1" applyBorder="1" applyAlignment="1" applyProtection="1"/>
    <xf numFmtId="216" fontId="21" fillId="0" borderId="0" xfId="20" applyNumberFormat="1" applyFont="1" applyFill="1" applyBorder="1" applyAlignment="1">
      <alignment vertical="center"/>
    </xf>
    <xf numFmtId="186" fontId="21" fillId="0" borderId="0" xfId="20" applyNumberFormat="1" applyFont="1" applyFill="1" applyBorder="1" applyAlignment="1">
      <alignment vertical="center"/>
    </xf>
    <xf numFmtId="189" fontId="21" fillId="0" borderId="0" xfId="20" applyNumberFormat="1" applyFont="1" applyFill="1" applyBorder="1" applyAlignment="1">
      <alignment vertical="center"/>
    </xf>
    <xf numFmtId="179" fontId="21" fillId="0" borderId="0" xfId="20" applyNumberFormat="1" applyFont="1" applyFill="1" applyBorder="1" applyAlignment="1">
      <alignment vertical="center"/>
    </xf>
    <xf numFmtId="178" fontId="24" fillId="0" borderId="33" xfId="81" applyNumberFormat="1" applyFont="1" applyFill="1" applyBorder="1" applyAlignment="1">
      <alignment vertical="center"/>
    </xf>
    <xf numFmtId="178" fontId="21" fillId="0" borderId="33" xfId="81" applyNumberFormat="1" applyFont="1" applyFill="1" applyBorder="1" applyAlignment="1">
      <alignment vertical="center"/>
    </xf>
    <xf numFmtId="14" fontId="24" fillId="0" borderId="38" xfId="10" applyNumberFormat="1" applyFont="1" applyFill="1" applyBorder="1" applyAlignment="1">
      <alignment horizontal="center" vertical="center" shrinkToFit="1"/>
    </xf>
    <xf numFmtId="14" fontId="24" fillId="0" borderId="29" xfId="10" applyNumberFormat="1" applyFont="1" applyFill="1" applyBorder="1" applyAlignment="1">
      <alignment horizontal="center" vertical="center" shrinkToFit="1"/>
    </xf>
    <xf numFmtId="218" fontId="21" fillId="25" borderId="52" xfId="9" applyNumberFormat="1" applyFont="1" applyFill="1" applyBorder="1" applyAlignment="1">
      <alignment horizontal="right" vertical="center"/>
    </xf>
    <xf numFmtId="218" fontId="24" fillId="25" borderId="53" xfId="9" applyNumberFormat="1" applyFont="1" applyFill="1" applyBorder="1" applyAlignment="1">
      <alignment horizontal="right" vertical="center"/>
    </xf>
    <xf numFmtId="218" fontId="24" fillId="25" borderId="52" xfId="9" applyNumberFormat="1" applyFont="1" applyFill="1" applyBorder="1" applyAlignment="1">
      <alignment horizontal="right" vertical="center"/>
    </xf>
    <xf numFmtId="218" fontId="21" fillId="25" borderId="54" xfId="9" applyNumberFormat="1" applyFont="1" applyFill="1" applyBorder="1" applyAlignment="1">
      <alignment horizontal="right" vertical="center"/>
    </xf>
    <xf numFmtId="218" fontId="24" fillId="25" borderId="54" xfId="9" applyNumberFormat="1" applyFont="1" applyFill="1" applyBorder="1" applyAlignment="1">
      <alignment horizontal="right" vertical="center"/>
    </xf>
    <xf numFmtId="218" fontId="21" fillId="25" borderId="55" xfId="9" applyNumberFormat="1" applyFont="1" applyFill="1" applyBorder="1" applyAlignment="1">
      <alignment horizontal="right" vertical="center"/>
    </xf>
    <xf numFmtId="0" fontId="1" fillId="0" borderId="0" xfId="96" applyNumberFormat="1">
      <alignment vertical="center"/>
    </xf>
    <xf numFmtId="0" fontId="34" fillId="0" borderId="0" xfId="96" applyNumberFormat="1" applyFont="1" applyAlignment="1">
      <alignment vertical="center"/>
    </xf>
    <xf numFmtId="176" fontId="34" fillId="0" borderId="0" xfId="96" applyNumberFormat="1" applyFont="1" applyAlignment="1">
      <alignment vertical="center"/>
    </xf>
    <xf numFmtId="41" fontId="0" fillId="0" borderId="54" xfId="96" applyNumberFormat="1" applyFont="1" applyBorder="1" applyAlignment="1">
      <alignment horizontal="center" vertical="center"/>
    </xf>
    <xf numFmtId="41" fontId="0" fillId="0" borderId="19" xfId="96" applyNumberFormat="1" applyFont="1" applyFill="1" applyBorder="1" applyAlignment="1">
      <alignment horizontal="center" vertical="center"/>
    </xf>
    <xf numFmtId="41" fontId="0" fillId="0" borderId="19" xfId="96" applyNumberFormat="1" applyFont="1" applyFill="1" applyBorder="1" applyAlignment="1">
      <alignment horizontal="center" vertical="center" wrapText="1"/>
    </xf>
    <xf numFmtId="41" fontId="0" fillId="0" borderId="19" xfId="171" applyNumberFormat="1" applyFont="1" applyFill="1" applyBorder="1" applyAlignment="1">
      <alignment horizontal="center" vertical="center"/>
    </xf>
    <xf numFmtId="0" fontId="0" fillId="0" borderId="15" xfId="96" applyNumberFormat="1" applyFont="1" applyFill="1" applyBorder="1" applyAlignment="1">
      <alignment horizontal="center" vertical="center"/>
    </xf>
    <xf numFmtId="41" fontId="0" fillId="0" borderId="19" xfId="96" applyNumberFormat="1" applyFont="1" applyFill="1" applyBorder="1" applyAlignment="1" applyProtection="1">
      <alignment horizontal="center" vertical="center" wrapText="1"/>
    </xf>
    <xf numFmtId="0" fontId="0" fillId="0" borderId="19" xfId="96" applyNumberFormat="1" applyFont="1" applyFill="1" applyBorder="1" applyAlignment="1" applyProtection="1">
      <alignment horizontal="center" vertical="center" wrapText="1"/>
    </xf>
    <xf numFmtId="0" fontId="0" fillId="0" borderId="19" xfId="96" applyNumberFormat="1" applyFont="1" applyFill="1" applyBorder="1" applyAlignment="1">
      <alignment horizontal="center" vertical="center"/>
    </xf>
    <xf numFmtId="0" fontId="35" fillId="8" borderId="56" xfId="96" applyNumberFormat="1" applyFont="1" applyFill="1" applyBorder="1" applyAlignment="1">
      <alignment horizontal="center" vertical="center"/>
    </xf>
    <xf numFmtId="0" fontId="36" fillId="0" borderId="0" xfId="96" applyNumberFormat="1" applyFont="1">
      <alignment vertical="center"/>
    </xf>
    <xf numFmtId="218" fontId="21" fillId="25" borderId="23" xfId="9" applyNumberFormat="1" applyFont="1" applyFill="1" applyBorder="1" applyAlignment="1">
      <alignment horizontal="center" vertical="center"/>
    </xf>
    <xf numFmtId="218" fontId="21" fillId="25" borderId="22" xfId="9" applyNumberFormat="1" applyFont="1" applyFill="1" applyBorder="1" applyAlignment="1">
      <alignment horizontal="center" vertical="center"/>
    </xf>
    <xf numFmtId="218" fontId="21" fillId="25" borderId="28" xfId="9" applyNumberFormat="1" applyFont="1" applyFill="1" applyBorder="1" applyAlignment="1">
      <alignment horizontal="center" vertical="center"/>
    </xf>
    <xf numFmtId="41" fontId="24" fillId="0" borderId="13" xfId="9" applyNumberFormat="1" applyFont="1" applyFill="1" applyBorder="1" applyAlignment="1">
      <alignment horizontal="center" vertical="center"/>
    </xf>
    <xf numFmtId="218" fontId="24" fillId="0" borderId="13" xfId="9" applyNumberFormat="1" applyFont="1" applyFill="1" applyBorder="1" applyAlignment="1">
      <alignment horizontal="center" vertical="center"/>
    </xf>
    <xf numFmtId="176" fontId="24" fillId="0" borderId="14" xfId="9" applyNumberFormat="1" applyFont="1" applyFill="1" applyBorder="1" applyAlignment="1">
      <alignment horizontal="center" vertical="center"/>
    </xf>
    <xf numFmtId="214" fontId="24" fillId="0" borderId="57" xfId="9" applyNumberFormat="1" applyFont="1" applyFill="1" applyBorder="1" applyAlignment="1">
      <alignment horizontal="center" vertical="center"/>
    </xf>
    <xf numFmtId="41" fontId="24" fillId="0" borderId="58" xfId="9" applyNumberFormat="1" applyFont="1" applyFill="1" applyBorder="1">
      <alignment vertical="center"/>
    </xf>
    <xf numFmtId="0" fontId="24" fillId="0" borderId="15" xfId="261" applyNumberFormat="1" applyFont="1" applyFill="1" applyBorder="1" applyAlignment="1">
      <alignment horizontal="left" vertical="center" shrinkToFit="1"/>
    </xf>
    <xf numFmtId="41" fontId="24" fillId="0" borderId="19" xfId="9" applyNumberFormat="1" applyFont="1" applyFill="1" applyBorder="1" applyAlignment="1">
      <alignment horizontal="center" vertical="center"/>
    </xf>
    <xf numFmtId="218" fontId="24" fillId="0" borderId="16" xfId="9" applyNumberFormat="1" applyFont="1" applyFill="1" applyBorder="1" applyAlignment="1">
      <alignment horizontal="center" vertical="center"/>
    </xf>
    <xf numFmtId="0" fontId="21" fillId="0" borderId="17" xfId="261" applyNumberFormat="1" applyFont="1" applyFill="1" applyBorder="1">
      <alignment vertical="center"/>
    </xf>
    <xf numFmtId="0" fontId="21" fillId="0" borderId="2" xfId="261" applyNumberFormat="1" applyFont="1" applyFill="1" applyBorder="1">
      <alignment vertical="center"/>
    </xf>
    <xf numFmtId="212" fontId="21" fillId="0" borderId="32" xfId="261" applyNumberFormat="1" applyFont="1" applyFill="1" applyBorder="1">
      <alignment vertical="center"/>
    </xf>
    <xf numFmtId="0" fontId="21" fillId="0" borderId="20" xfId="261" applyNumberFormat="1" applyFont="1" applyFill="1" applyBorder="1" applyAlignment="1">
      <alignment horizontal="left" vertical="center" shrinkToFit="1"/>
    </xf>
    <xf numFmtId="0" fontId="21" fillId="0" borderId="19" xfId="261" applyNumberFormat="1" applyFont="1" applyFill="1" applyBorder="1" applyAlignment="1">
      <alignment vertical="center" shrinkToFit="1"/>
    </xf>
    <xf numFmtId="0" fontId="21" fillId="0" borderId="19" xfId="261" applyNumberFormat="1" applyFont="1" applyFill="1" applyBorder="1" applyAlignment="1">
      <alignment horizontal="center" vertical="center"/>
    </xf>
    <xf numFmtId="218" fontId="21" fillId="0" borderId="16" xfId="9" applyNumberFormat="1" applyFont="1" applyFill="1" applyBorder="1" applyAlignment="1">
      <alignment horizontal="center" vertical="center"/>
    </xf>
    <xf numFmtId="0" fontId="21" fillId="0" borderId="21" xfId="261" applyNumberFormat="1" applyFont="1" applyFill="1" applyBorder="1" applyAlignment="1">
      <alignment horizontal="left" vertical="center" shrinkToFit="1"/>
    </xf>
    <xf numFmtId="0" fontId="21" fillId="0" borderId="22" xfId="261" applyNumberFormat="1" applyFont="1" applyFill="1" applyBorder="1" applyAlignment="1" applyProtection="1">
      <alignment vertical="center" shrinkToFit="1"/>
    </xf>
    <xf numFmtId="0" fontId="21" fillId="0" borderId="22" xfId="261" applyNumberFormat="1" applyFont="1" applyFill="1" applyBorder="1" applyAlignment="1">
      <alignment vertical="center" shrinkToFit="1"/>
    </xf>
    <xf numFmtId="218" fontId="21" fillId="0" borderId="23" xfId="9" applyNumberFormat="1" applyFont="1" applyFill="1" applyBorder="1" applyAlignment="1">
      <alignment horizontal="center" vertical="center"/>
    </xf>
    <xf numFmtId="0" fontId="21" fillId="0" borderId="31" xfId="261" quotePrefix="1" applyNumberFormat="1" applyFont="1" applyFill="1" applyBorder="1" applyAlignment="1">
      <alignment vertical="center" wrapText="1"/>
    </xf>
    <xf numFmtId="0" fontId="21" fillId="0" borderId="31" xfId="261" applyNumberFormat="1" applyFont="1" applyFill="1" applyBorder="1" applyAlignment="1">
      <alignment horizontal="center" vertical="center" wrapText="1"/>
    </xf>
    <xf numFmtId="206" fontId="24" fillId="0" borderId="34" xfId="261" quotePrefix="1" applyNumberFormat="1" applyFont="1" applyFill="1" applyBorder="1" applyAlignment="1">
      <alignment vertical="center" wrapText="1"/>
    </xf>
    <xf numFmtId="0" fontId="21" fillId="0" borderId="16" xfId="261" applyNumberFormat="1" applyFont="1" applyFill="1" applyBorder="1" applyAlignment="1" applyProtection="1">
      <alignment vertical="center" shrinkToFit="1"/>
    </xf>
    <xf numFmtId="0" fontId="21" fillId="0" borderId="19" xfId="261" applyNumberFormat="1" applyFont="1" applyFill="1" applyBorder="1" applyAlignment="1" applyProtection="1">
      <alignment vertical="center" shrinkToFit="1"/>
    </xf>
    <xf numFmtId="41" fontId="21" fillId="0" borderId="19" xfId="9" applyNumberFormat="1" applyFont="1" applyFill="1" applyBorder="1" applyAlignment="1" applyProtection="1">
      <alignment vertical="center"/>
    </xf>
    <xf numFmtId="218" fontId="21" fillId="0" borderId="19" xfId="9" applyNumberFormat="1" applyFont="1" applyFill="1" applyBorder="1" applyAlignment="1" applyProtection="1">
      <alignment horizontal="center" vertical="center"/>
    </xf>
    <xf numFmtId="0" fontId="21" fillId="0" borderId="25" xfId="261" quotePrefix="1" applyNumberFormat="1" applyFont="1" applyFill="1" applyBorder="1" applyAlignment="1" applyProtection="1">
      <alignment vertical="center" wrapText="1"/>
    </xf>
    <xf numFmtId="0" fontId="21" fillId="0" borderId="37" xfId="261" applyNumberFormat="1" applyFont="1" applyFill="1" applyBorder="1" applyAlignment="1" applyProtection="1">
      <alignment horizontal="center" vertical="center" wrapText="1"/>
    </xf>
    <xf numFmtId="0" fontId="24" fillId="0" borderId="15" xfId="267" applyNumberFormat="1" applyFont="1" applyFill="1" applyBorder="1" applyAlignment="1">
      <alignment horizontal="left" vertical="center" shrinkToFit="1"/>
    </xf>
    <xf numFmtId="41" fontId="35" fillId="0" borderId="19" xfId="9" applyNumberFormat="1" applyFont="1" applyFill="1" applyBorder="1" applyAlignment="1">
      <alignment horizontal="center" vertical="center"/>
    </xf>
    <xf numFmtId="218" fontId="35" fillId="0" borderId="16" xfId="9" applyNumberFormat="1" applyFont="1" applyFill="1" applyBorder="1" applyAlignment="1">
      <alignment horizontal="center" vertical="center"/>
    </xf>
    <xf numFmtId="0" fontId="21" fillId="0" borderId="17" xfId="140" applyNumberFormat="1" applyFont="1" applyFill="1" applyBorder="1">
      <alignment vertical="center"/>
    </xf>
    <xf numFmtId="0" fontId="21" fillId="0" borderId="2" xfId="140" applyNumberFormat="1" applyFont="1" applyFill="1" applyBorder="1">
      <alignment vertical="center"/>
    </xf>
    <xf numFmtId="0" fontId="21" fillId="0" borderId="32" xfId="140" applyNumberFormat="1" applyFont="1" applyFill="1" applyBorder="1">
      <alignment vertical="center"/>
    </xf>
    <xf numFmtId="0" fontId="21" fillId="0" borderId="20" xfId="140" applyNumberFormat="1" applyFont="1" applyFill="1" applyBorder="1" applyAlignment="1">
      <alignment horizontal="left" vertical="center" shrinkToFit="1"/>
    </xf>
    <xf numFmtId="0" fontId="21" fillId="0" borderId="19" xfId="140" applyNumberFormat="1" applyFont="1" applyFill="1" applyBorder="1" applyAlignment="1">
      <alignment vertical="center" shrinkToFit="1"/>
    </xf>
    <xf numFmtId="0" fontId="21" fillId="0" borderId="19" xfId="140" applyNumberFormat="1" applyFont="1" applyFill="1" applyBorder="1" applyAlignment="1">
      <alignment horizontal="center" vertical="center"/>
    </xf>
    <xf numFmtId="41" fontId="23" fillId="0" borderId="19" xfId="9" applyNumberFormat="1" applyFont="1" applyFill="1" applyBorder="1">
      <alignment vertical="center"/>
    </xf>
    <xf numFmtId="218" fontId="23" fillId="0" borderId="16" xfId="9" applyNumberFormat="1" applyFont="1" applyFill="1" applyBorder="1" applyAlignment="1">
      <alignment horizontal="center" vertical="center"/>
    </xf>
    <xf numFmtId="0" fontId="21" fillId="0" borderId="18" xfId="140" applyNumberFormat="1" applyFont="1" applyFill="1" applyBorder="1" applyAlignment="1">
      <alignment horizontal="left" vertical="center" shrinkToFit="1"/>
    </xf>
    <xf numFmtId="0" fontId="21" fillId="0" borderId="17" xfId="140" quotePrefix="1" applyNumberFormat="1" applyFont="1" applyFill="1" applyBorder="1" applyAlignment="1">
      <alignment vertical="center" wrapText="1"/>
    </xf>
    <xf numFmtId="213" fontId="21" fillId="0" borderId="2" xfId="140" quotePrefix="1" applyNumberFormat="1" applyFont="1" applyFill="1" applyBorder="1" applyAlignment="1">
      <alignment vertical="center" wrapText="1"/>
    </xf>
    <xf numFmtId="0" fontId="21" fillId="0" borderId="2" xfId="140" quotePrefix="1" applyNumberFormat="1" applyFont="1" applyFill="1" applyBorder="1" applyAlignment="1">
      <alignment vertical="center" wrapText="1"/>
    </xf>
    <xf numFmtId="181" fontId="21" fillId="0" borderId="2" xfId="140" applyNumberFormat="1" applyFont="1" applyFill="1" applyBorder="1" applyAlignment="1">
      <alignment vertical="center" wrapText="1"/>
    </xf>
    <xf numFmtId="0" fontId="21" fillId="0" borderId="32" xfId="140" applyNumberFormat="1" applyFont="1" applyFill="1" applyBorder="1" applyAlignment="1">
      <alignment horizontal="center" vertical="center" wrapText="1"/>
    </xf>
    <xf numFmtId="0" fontId="21" fillId="0" borderId="19" xfId="146" applyNumberFormat="1" applyFont="1" applyFill="1" applyBorder="1" applyAlignment="1">
      <alignment vertical="center" shrinkToFit="1"/>
    </xf>
    <xf numFmtId="0" fontId="21" fillId="0" borderId="0" xfId="261" applyNumberFormat="1" applyFont="1" applyFill="1" applyBorder="1">
      <alignment vertical="center"/>
    </xf>
    <xf numFmtId="0" fontId="21" fillId="0" borderId="36" xfId="261" applyNumberFormat="1" applyFont="1" applyFill="1" applyBorder="1" applyAlignment="1">
      <alignment vertical="center" shrinkToFit="1"/>
    </xf>
    <xf numFmtId="0" fontId="21" fillId="0" borderId="22" xfId="146" applyNumberFormat="1" applyFont="1" applyFill="1" applyBorder="1" applyAlignment="1">
      <alignment vertical="center" shrinkToFit="1"/>
    </xf>
    <xf numFmtId="0" fontId="21" fillId="0" borderId="31" xfId="261" applyNumberFormat="1" applyFont="1" applyFill="1" applyBorder="1">
      <alignment vertical="center"/>
    </xf>
    <xf numFmtId="206" fontId="24" fillId="0" borderId="34" xfId="261" applyNumberFormat="1" applyFont="1" applyFill="1" applyBorder="1" applyAlignment="1">
      <alignment vertical="center" wrapText="1"/>
    </xf>
    <xf numFmtId="0" fontId="21" fillId="0" borderId="36" xfId="155" applyNumberFormat="1" applyFont="1" applyFill="1" applyBorder="1" applyAlignment="1">
      <alignment horizontal="left" vertical="center" shrinkToFit="1"/>
    </xf>
    <xf numFmtId="41" fontId="21" fillId="0" borderId="19" xfId="9" quotePrefix="1" applyNumberFormat="1" applyFont="1" applyFill="1" applyBorder="1">
      <alignment vertical="center"/>
    </xf>
    <xf numFmtId="0" fontId="21" fillId="0" borderId="2" xfId="261" quotePrefix="1" applyNumberFormat="1" applyFont="1" applyFill="1" applyBorder="1" applyAlignment="1">
      <alignment vertical="center" wrapText="1"/>
    </xf>
    <xf numFmtId="181" fontId="21" fillId="0" borderId="2" xfId="261" applyNumberFormat="1" applyFont="1" applyFill="1" applyBorder="1" applyAlignment="1">
      <alignment vertical="center" wrapText="1"/>
    </xf>
    <xf numFmtId="0" fontId="21" fillId="0" borderId="2" xfId="261" applyNumberFormat="1" applyFont="1" applyFill="1" applyBorder="1" applyAlignment="1">
      <alignment horizontal="center" vertical="center" wrapText="1"/>
    </xf>
    <xf numFmtId="206" fontId="24" fillId="0" borderId="32" xfId="261" quotePrefix="1" applyNumberFormat="1" applyFont="1" applyFill="1" applyBorder="1" applyAlignment="1">
      <alignment vertical="center" wrapText="1"/>
    </xf>
    <xf numFmtId="41" fontId="21" fillId="0" borderId="22" xfId="9" quotePrefix="1" applyNumberFormat="1" applyFont="1" applyFill="1" applyBorder="1">
      <alignment vertical="center"/>
    </xf>
    <xf numFmtId="218" fontId="21" fillId="0" borderId="19" xfId="9" applyNumberFormat="1" applyFont="1" applyFill="1" applyBorder="1" applyAlignment="1">
      <alignment horizontal="center" vertical="center"/>
    </xf>
    <xf numFmtId="181" fontId="21" fillId="0" borderId="31" xfId="261" applyNumberFormat="1" applyFont="1" applyFill="1" applyBorder="1" applyAlignment="1">
      <alignment vertical="center" wrapText="1"/>
    </xf>
    <xf numFmtId="0" fontId="21" fillId="0" borderId="23" xfId="261" applyNumberFormat="1" applyFont="1" applyFill="1" applyBorder="1" applyAlignment="1">
      <alignment vertical="center" shrinkToFit="1"/>
    </xf>
    <xf numFmtId="218" fontId="24" fillId="0" borderId="19" xfId="9" applyNumberFormat="1" applyFont="1" applyFill="1" applyBorder="1" applyAlignment="1">
      <alignment horizontal="center" vertical="center"/>
    </xf>
    <xf numFmtId="206" fontId="21" fillId="0" borderId="32" xfId="261" applyNumberFormat="1" applyFont="1" applyFill="1" applyBorder="1">
      <alignment vertical="center"/>
    </xf>
    <xf numFmtId="0" fontId="21" fillId="0" borderId="19" xfId="261" applyNumberFormat="1" applyFont="1" applyFill="1" applyBorder="1" applyAlignment="1">
      <alignment horizontal="center" vertical="center" shrinkToFit="1"/>
    </xf>
    <xf numFmtId="41" fontId="21" fillId="0" borderId="19" xfId="9" applyNumberFormat="1" applyFont="1" applyFill="1" applyBorder="1" applyAlignment="1">
      <alignment horizontal="center" vertical="center"/>
    </xf>
    <xf numFmtId="0" fontId="21" fillId="0" borderId="21" xfId="261" applyNumberFormat="1" applyFont="1" applyFill="1" applyBorder="1" applyAlignment="1">
      <alignment horizontal="left" vertical="center"/>
    </xf>
    <xf numFmtId="0" fontId="21" fillId="0" borderId="22" xfId="261" applyNumberFormat="1" applyFont="1" applyFill="1" applyBorder="1" applyAlignment="1">
      <alignment horizontal="center" vertical="center"/>
    </xf>
    <xf numFmtId="0" fontId="21" fillId="0" borderId="19" xfId="261" applyNumberFormat="1" applyFont="1" applyFill="1" applyBorder="1" applyAlignment="1">
      <alignment horizontal="left" vertical="center"/>
    </xf>
    <xf numFmtId="0" fontId="21" fillId="0" borderId="17" xfId="261" quotePrefix="1" applyNumberFormat="1" applyFont="1" applyFill="1" applyBorder="1">
      <alignment vertical="center"/>
    </xf>
    <xf numFmtId="177" fontId="21" fillId="0" borderId="2" xfId="261" quotePrefix="1" applyNumberFormat="1" applyFont="1" applyFill="1" applyBorder="1">
      <alignment vertical="center"/>
    </xf>
    <xf numFmtId="210" fontId="21" fillId="0" borderId="2" xfId="261" quotePrefix="1" applyNumberFormat="1" applyFont="1" applyFill="1" applyBorder="1">
      <alignment vertical="center"/>
    </xf>
    <xf numFmtId="180" fontId="21" fillId="0" borderId="2" xfId="261" quotePrefix="1" applyNumberFormat="1" applyFont="1" applyFill="1" applyBorder="1">
      <alignment vertical="center"/>
    </xf>
    <xf numFmtId="206" fontId="24" fillId="0" borderId="32" xfId="261" quotePrefix="1" applyNumberFormat="1" applyFont="1" applyFill="1" applyBorder="1">
      <alignment vertical="center"/>
    </xf>
    <xf numFmtId="0" fontId="21" fillId="0" borderId="23" xfId="261" applyNumberFormat="1" applyFont="1" applyFill="1" applyBorder="1" applyAlignment="1">
      <alignment horizontal="center" vertical="center"/>
    </xf>
    <xf numFmtId="0" fontId="21" fillId="0" borderId="22" xfId="261" applyNumberFormat="1" applyFont="1" applyFill="1" applyBorder="1" applyAlignment="1">
      <alignment horizontal="left" vertical="center"/>
    </xf>
    <xf numFmtId="0" fontId="21" fillId="0" borderId="24" xfId="261" quotePrefix="1" applyNumberFormat="1" applyFont="1" applyFill="1" applyBorder="1">
      <alignment vertical="center"/>
    </xf>
    <xf numFmtId="177" fontId="21" fillId="0" borderId="31" xfId="261" quotePrefix="1" applyNumberFormat="1" applyFont="1" applyFill="1" applyBorder="1">
      <alignment vertical="center"/>
    </xf>
    <xf numFmtId="210" fontId="29" fillId="0" borderId="31" xfId="261" applyNumberFormat="1" applyFont="1" applyFill="1" applyBorder="1">
      <alignment vertical="center"/>
    </xf>
    <xf numFmtId="180" fontId="21" fillId="0" borderId="0" xfId="261" applyNumberFormat="1" applyFont="1" applyFill="1" applyBorder="1">
      <alignment vertical="center"/>
    </xf>
    <xf numFmtId="0" fontId="21" fillId="0" borderId="0" xfId="261" applyNumberFormat="1" applyFont="1" applyFill="1" applyBorder="1" applyAlignment="1">
      <alignment horizontal="center" vertical="center" wrapText="1"/>
    </xf>
    <xf numFmtId="206" fontId="21" fillId="0" borderId="33" xfId="261" quotePrefix="1" applyNumberFormat="1" applyFont="1" applyFill="1" applyBorder="1">
      <alignment vertical="center"/>
    </xf>
    <xf numFmtId="0" fontId="21" fillId="0" borderId="23" xfId="261" applyNumberFormat="1" applyFont="1" applyFill="1" applyBorder="1" applyAlignment="1">
      <alignment horizontal="left" vertical="center"/>
    </xf>
    <xf numFmtId="177" fontId="21" fillId="0" borderId="0" xfId="261" quotePrefix="1" applyNumberFormat="1" applyFont="1" applyFill="1" applyBorder="1" applyAlignment="1">
      <alignment horizontal="right" vertical="center"/>
    </xf>
    <xf numFmtId="210" fontId="29" fillId="0" borderId="0" xfId="261" quotePrefix="1" applyNumberFormat="1" applyFont="1" applyFill="1" applyBorder="1">
      <alignment vertical="center"/>
    </xf>
    <xf numFmtId="180" fontId="21" fillId="0" borderId="0" xfId="261" quotePrefix="1" applyNumberFormat="1" applyFont="1" applyFill="1" applyBorder="1">
      <alignment vertical="center"/>
    </xf>
    <xf numFmtId="0" fontId="37" fillId="0" borderId="21" xfId="261" applyNumberFormat="1" applyFont="1" applyFill="1" applyBorder="1" applyAlignment="1">
      <alignment horizontal="left" vertical="center"/>
    </xf>
    <xf numFmtId="0" fontId="37" fillId="0" borderId="23" xfId="261" applyNumberFormat="1" applyFont="1" applyFill="1" applyBorder="1" applyAlignment="1">
      <alignment horizontal="center" vertical="center"/>
    </xf>
    <xf numFmtId="211" fontId="21" fillId="0" borderId="2" xfId="261" quotePrefix="1" applyNumberFormat="1" applyFont="1" applyFill="1" applyBorder="1">
      <alignment vertical="center"/>
    </xf>
    <xf numFmtId="0" fontId="21" fillId="0" borderId="42" xfId="261" applyNumberFormat="1" applyFont="1" applyFill="1" applyBorder="1" applyAlignment="1">
      <alignment horizontal="left" vertical="center"/>
    </xf>
    <xf numFmtId="0" fontId="21" fillId="0" borderId="24" xfId="261" applyNumberFormat="1" applyFont="1" applyFill="1" applyBorder="1">
      <alignment vertical="center"/>
    </xf>
    <xf numFmtId="177" fontId="21" fillId="0" borderId="31" xfId="261" applyNumberFormat="1" applyFont="1" applyFill="1" applyBorder="1">
      <alignment vertical="center"/>
    </xf>
    <xf numFmtId="180" fontId="21" fillId="0" borderId="31" xfId="261" applyNumberFormat="1" applyFont="1" applyFill="1" applyBorder="1">
      <alignment vertical="center"/>
    </xf>
    <xf numFmtId="206" fontId="21" fillId="0" borderId="34" xfId="261" applyNumberFormat="1" applyFont="1" applyFill="1" applyBorder="1">
      <alignment vertical="center"/>
    </xf>
    <xf numFmtId="0" fontId="24" fillId="0" borderId="15" xfId="261" applyNumberFormat="1" applyFont="1" applyFill="1" applyBorder="1" applyAlignment="1">
      <alignment horizontal="left" vertical="center"/>
    </xf>
    <xf numFmtId="41" fontId="24" fillId="0" borderId="19" xfId="9" applyNumberFormat="1" applyFont="1" applyFill="1" applyBorder="1">
      <alignment vertical="center"/>
    </xf>
    <xf numFmtId="177" fontId="21" fillId="0" borderId="2" xfId="261" applyNumberFormat="1" applyFont="1" applyFill="1" applyBorder="1">
      <alignment vertical="center"/>
    </xf>
    <xf numFmtId="0" fontId="21" fillId="0" borderId="20" xfId="261" applyNumberFormat="1" applyFont="1" applyFill="1" applyBorder="1" applyAlignment="1">
      <alignment horizontal="left" vertical="center"/>
    </xf>
    <xf numFmtId="41" fontId="21" fillId="0" borderId="2" xfId="261" applyNumberFormat="1" applyFont="1" applyFill="1" applyBorder="1">
      <alignment vertical="center"/>
    </xf>
    <xf numFmtId="210" fontId="21" fillId="0" borderId="31" xfId="261" quotePrefix="1" applyNumberFormat="1" applyFont="1" applyFill="1" applyBorder="1">
      <alignment vertical="center"/>
    </xf>
    <xf numFmtId="180" fontId="21" fillId="0" borderId="31" xfId="261" applyNumberFormat="1" applyFont="1" applyFill="1" applyBorder="1" applyAlignment="1">
      <alignment horizontal="right" vertical="center"/>
    </xf>
    <xf numFmtId="206" fontId="24" fillId="0" borderId="34" xfId="261" quotePrefix="1" applyNumberFormat="1" applyFont="1" applyFill="1" applyBorder="1">
      <alignment vertical="center"/>
    </xf>
    <xf numFmtId="0" fontId="21" fillId="0" borderId="23" xfId="261" applyNumberFormat="1" applyFont="1" applyFill="1" applyBorder="1" applyAlignment="1" applyProtection="1">
      <alignment horizontal="left" vertical="center"/>
    </xf>
    <xf numFmtId="0" fontId="21" fillId="0" borderId="16" xfId="261" applyNumberFormat="1" applyFont="1" applyFill="1" applyBorder="1" applyAlignment="1" applyProtection="1">
      <alignment horizontal="left" vertical="center"/>
    </xf>
    <xf numFmtId="41" fontId="21" fillId="0" borderId="16" xfId="9" applyNumberFormat="1" applyFont="1" applyFill="1" applyBorder="1" applyAlignment="1" applyProtection="1">
      <alignment vertical="center"/>
    </xf>
    <xf numFmtId="177" fontId="21" fillId="0" borderId="37" xfId="261" quotePrefix="1" applyNumberFormat="1" applyFont="1" applyFill="1" applyBorder="1" applyAlignment="1" applyProtection="1">
      <alignment vertical="center"/>
    </xf>
    <xf numFmtId="177" fontId="21" fillId="0" borderId="37" xfId="261" applyNumberFormat="1" applyFont="1" applyFill="1" applyBorder="1" applyAlignment="1" applyProtection="1">
      <alignment vertical="center"/>
    </xf>
    <xf numFmtId="210" fontId="21" fillId="0" borderId="37" xfId="261" quotePrefix="1" applyNumberFormat="1" applyFont="1" applyFill="1" applyBorder="1" applyAlignment="1" applyProtection="1">
      <alignment vertical="center"/>
    </xf>
    <xf numFmtId="178" fontId="21" fillId="0" borderId="37" xfId="289" applyNumberFormat="1" applyFont="1" applyFill="1" applyBorder="1" applyAlignment="1" applyProtection="1">
      <alignment horizontal="center" vertical="center" shrinkToFit="1"/>
    </xf>
    <xf numFmtId="180" fontId="21" fillId="0" borderId="37" xfId="261" applyNumberFormat="1" applyFont="1" applyFill="1" applyBorder="1" applyAlignment="1" applyProtection="1">
      <alignment horizontal="right" vertical="center"/>
    </xf>
    <xf numFmtId="206" fontId="24" fillId="0" borderId="39" xfId="261" applyNumberFormat="1" applyFont="1" applyFill="1" applyBorder="1" applyAlignment="1" applyProtection="1">
      <alignment vertical="center"/>
    </xf>
    <xf numFmtId="0" fontId="21" fillId="0" borderId="18" xfId="261" applyNumberFormat="1" applyFont="1" applyFill="1" applyBorder="1" applyAlignment="1">
      <alignment horizontal="left" vertical="center"/>
    </xf>
    <xf numFmtId="0" fontId="21" fillId="0" borderId="16" xfId="261" applyNumberFormat="1" applyFont="1" applyFill="1" applyBorder="1" applyAlignment="1">
      <alignment horizontal="left" vertical="center"/>
    </xf>
    <xf numFmtId="0" fontId="21" fillId="0" borderId="19" xfId="156" applyNumberFormat="1" applyFont="1" applyFill="1" applyBorder="1" applyAlignment="1" applyProtection="1">
      <alignment horizontal="left" vertical="center" shrinkToFit="1"/>
    </xf>
    <xf numFmtId="180" fontId="21" fillId="0" borderId="2" xfId="261" applyNumberFormat="1" applyFont="1" applyFill="1" applyBorder="1" applyAlignment="1">
      <alignment horizontal="right" vertical="center"/>
    </xf>
    <xf numFmtId="0" fontId="24" fillId="0" borderId="21" xfId="261" applyNumberFormat="1" applyFont="1" applyFill="1" applyBorder="1" applyAlignment="1">
      <alignment horizontal="left" vertical="center"/>
    </xf>
    <xf numFmtId="41" fontId="24" fillId="0" borderId="23" xfId="9" applyNumberFormat="1" applyFont="1" applyFill="1" applyBorder="1">
      <alignment vertical="center"/>
    </xf>
    <xf numFmtId="0" fontId="21" fillId="0" borderId="41" xfId="261" quotePrefix="1" applyNumberFormat="1" applyFont="1" applyFill="1" applyBorder="1">
      <alignment vertical="center"/>
    </xf>
    <xf numFmtId="0" fontId="21" fillId="0" borderId="0" xfId="261" quotePrefix="1" applyNumberFormat="1" applyFont="1" applyFill="1" applyBorder="1">
      <alignment vertical="center"/>
    </xf>
    <xf numFmtId="0" fontId="21" fillId="0" borderId="31" xfId="261" quotePrefix="1" applyNumberFormat="1" applyFont="1" applyFill="1" applyBorder="1">
      <alignment vertical="center"/>
    </xf>
    <xf numFmtId="206" fontId="21" fillId="0" borderId="34" xfId="261" quotePrefix="1" applyNumberFormat="1" applyFont="1" applyFill="1" applyBorder="1">
      <alignment vertical="center"/>
    </xf>
    <xf numFmtId="206" fontId="53" fillId="0" borderId="0" xfId="272" applyNumberFormat="1" applyFill="1">
      <alignment vertical="center"/>
    </xf>
    <xf numFmtId="218" fontId="23" fillId="0" borderId="26" xfId="9" applyNumberFormat="1" applyFont="1" applyFill="1" applyBorder="1" applyAlignment="1">
      <alignment horizontal="center" vertical="center"/>
    </xf>
    <xf numFmtId="41" fontId="21" fillId="0" borderId="2" xfId="261" quotePrefix="1" applyNumberFormat="1" applyFont="1" applyFill="1" applyBorder="1">
      <alignment vertical="center"/>
    </xf>
    <xf numFmtId="0" fontId="21" fillId="0" borderId="2" xfId="261" quotePrefix="1" applyNumberFormat="1" applyFont="1" applyFill="1" applyBorder="1">
      <alignment vertical="center"/>
    </xf>
    <xf numFmtId="0" fontId="21" fillId="0" borderId="35" xfId="261" applyNumberFormat="1" applyFont="1" applyFill="1" applyBorder="1" applyAlignment="1">
      <alignment horizontal="center" vertical="center"/>
    </xf>
    <xf numFmtId="41" fontId="21" fillId="0" borderId="23" xfId="261" applyNumberFormat="1" applyFont="1" applyFill="1" applyBorder="1" applyAlignment="1">
      <alignment horizontal="center" vertical="center"/>
    </xf>
    <xf numFmtId="41" fontId="21" fillId="0" borderId="23" xfId="9" applyNumberFormat="1" applyFont="1" applyFill="1" applyBorder="1" applyAlignment="1">
      <alignment horizontal="center" vertical="center"/>
    </xf>
    <xf numFmtId="206" fontId="21" fillId="0" borderId="0" xfId="261" quotePrefix="1" applyNumberFormat="1" applyFont="1" applyFill="1" applyBorder="1">
      <alignment vertical="center"/>
    </xf>
    <xf numFmtId="181" fontId="21" fillId="0" borderId="0" xfId="261" applyNumberFormat="1" applyFont="1" applyFill="1" applyBorder="1" applyAlignment="1">
      <alignment vertical="center" wrapText="1"/>
    </xf>
    <xf numFmtId="206" fontId="24" fillId="0" borderId="33" xfId="261" quotePrefix="1" applyNumberFormat="1" applyFont="1" applyFill="1" applyBorder="1">
      <alignment vertical="center"/>
    </xf>
    <xf numFmtId="0" fontId="53" fillId="0" borderId="0" xfId="272" applyNumberFormat="1" applyFill="1" applyAlignment="1">
      <alignment horizontal="left" vertical="center"/>
    </xf>
    <xf numFmtId="0" fontId="21" fillId="0" borderId="41" xfId="261" applyNumberFormat="1" applyFont="1" applyFill="1" applyBorder="1">
      <alignment vertical="center"/>
    </xf>
    <xf numFmtId="0" fontId="21" fillId="0" borderId="35" xfId="262" applyNumberFormat="1" applyFont="1" applyFill="1" applyBorder="1" applyAlignment="1">
      <alignment horizontal="center" vertical="center"/>
    </xf>
    <xf numFmtId="0" fontId="21" fillId="0" borderId="23" xfId="262" applyNumberFormat="1" applyFont="1" applyFill="1" applyBorder="1" applyAlignment="1">
      <alignment horizontal="center" vertical="center"/>
    </xf>
    <xf numFmtId="0" fontId="25" fillId="0" borderId="19" xfId="262" applyNumberFormat="1" applyFont="1" applyFill="1" applyBorder="1" applyAlignment="1">
      <alignment horizontal="left" vertical="center" shrinkToFit="1"/>
    </xf>
    <xf numFmtId="41" fontId="23" fillId="0" borderId="19" xfId="9" applyNumberFormat="1" applyFont="1" applyFill="1" applyBorder="1" applyAlignment="1">
      <alignment horizontal="center" vertical="center"/>
    </xf>
    <xf numFmtId="0" fontId="21" fillId="0" borderId="17" xfId="262" applyNumberFormat="1" applyFont="1" applyFill="1" applyBorder="1">
      <alignment vertical="center"/>
    </xf>
    <xf numFmtId="206" fontId="21" fillId="0" borderId="2" xfId="262" quotePrefix="1" applyNumberFormat="1" applyFont="1" applyFill="1" applyBorder="1">
      <alignment vertical="center"/>
    </xf>
    <xf numFmtId="181" fontId="21" fillId="0" borderId="2" xfId="262" applyNumberFormat="1" applyFont="1" applyFill="1" applyBorder="1" applyAlignment="1">
      <alignment vertical="center" wrapText="1"/>
    </xf>
    <xf numFmtId="0" fontId="21" fillId="0" borderId="2" xfId="262" quotePrefix="1" applyNumberFormat="1" applyFont="1" applyFill="1" applyBorder="1">
      <alignment vertical="center"/>
    </xf>
    <xf numFmtId="0" fontId="21" fillId="0" borderId="32" xfId="262" applyNumberFormat="1" applyFont="1" applyFill="1" applyBorder="1" applyAlignment="1">
      <alignment horizontal="center" vertical="center" wrapText="1"/>
    </xf>
    <xf numFmtId="0" fontId="21" fillId="0" borderId="22" xfId="262" applyNumberFormat="1" applyFont="1" applyFill="1" applyBorder="1" applyAlignment="1">
      <alignment horizontal="center" vertical="center" wrapText="1"/>
    </xf>
    <xf numFmtId="41" fontId="23" fillId="0" borderId="23" xfId="9" applyNumberFormat="1" applyFont="1" applyFill="1" applyBorder="1" applyAlignment="1">
      <alignment horizontal="center" vertical="center"/>
    </xf>
    <xf numFmtId="218" fontId="23" fillId="0" borderId="36" xfId="9" applyNumberFormat="1" applyFont="1" applyFill="1" applyBorder="1" applyAlignment="1">
      <alignment horizontal="center" vertical="center"/>
    </xf>
    <xf numFmtId="0" fontId="21" fillId="0" borderId="41" xfId="262" applyNumberFormat="1" applyFont="1" applyFill="1" applyBorder="1">
      <alignment vertical="center"/>
    </xf>
    <xf numFmtId="206" fontId="21" fillId="0" borderId="31" xfId="261" quotePrefix="1" applyNumberFormat="1" applyFont="1" applyFill="1" applyBorder="1">
      <alignment vertical="center"/>
    </xf>
    <xf numFmtId="0" fontId="21" fillId="0" borderId="16" xfId="262" applyNumberFormat="1" applyFont="1" applyFill="1" applyBorder="1" applyAlignment="1">
      <alignment horizontal="center" vertical="center" wrapText="1"/>
    </xf>
    <xf numFmtId="0" fontId="21" fillId="0" borderId="19" xfId="262" applyNumberFormat="1" applyFont="1" applyFill="1" applyBorder="1" applyAlignment="1">
      <alignment horizontal="left" vertical="center" wrapText="1"/>
    </xf>
    <xf numFmtId="41" fontId="24" fillId="0" borderId="19" xfId="9" quotePrefix="1" applyNumberFormat="1" applyFont="1" applyFill="1" applyBorder="1" applyAlignment="1">
      <alignment horizontal="right" vertical="center"/>
    </xf>
    <xf numFmtId="41" fontId="21" fillId="0" borderId="19" xfId="9" quotePrefix="1" applyNumberFormat="1" applyFont="1" applyFill="1" applyBorder="1" applyAlignment="1">
      <alignment horizontal="right" vertical="center"/>
    </xf>
    <xf numFmtId="0" fontId="21" fillId="0" borderId="19" xfId="266" applyNumberFormat="1" applyFont="1" applyFill="1" applyBorder="1" applyAlignment="1">
      <alignment horizontal="left" vertical="center"/>
    </xf>
    <xf numFmtId="218" fontId="21" fillId="0" borderId="0" xfId="9" applyNumberFormat="1" applyFont="1" applyFill="1" applyBorder="1" applyAlignment="1">
      <alignment horizontal="center" vertical="center"/>
    </xf>
    <xf numFmtId="0" fontId="25" fillId="0" borderId="19" xfId="261" applyNumberFormat="1" applyFont="1" applyFill="1" applyBorder="1" applyAlignment="1">
      <alignment horizontal="left" vertical="center" wrapText="1"/>
    </xf>
    <xf numFmtId="41" fontId="21" fillId="0" borderId="19" xfId="9" applyNumberFormat="1" applyFont="1" applyFill="1" applyBorder="1" applyAlignment="1">
      <alignment horizontal="right" vertical="center"/>
    </xf>
    <xf numFmtId="206" fontId="24" fillId="0" borderId="34" xfId="261" applyNumberFormat="1" applyFont="1" applyFill="1" applyBorder="1" applyAlignment="1">
      <alignment horizontal="right" vertical="center"/>
    </xf>
    <xf numFmtId="0" fontId="21" fillId="0" borderId="26" xfId="261" applyNumberFormat="1" applyFont="1" applyFill="1" applyBorder="1" applyAlignment="1">
      <alignment horizontal="left" vertical="center"/>
    </xf>
    <xf numFmtId="177" fontId="21" fillId="0" borderId="2" xfId="261" applyNumberFormat="1" applyFont="1" applyFill="1" applyBorder="1" applyAlignment="1">
      <alignment vertical="center" wrapText="1"/>
    </xf>
    <xf numFmtId="179" fontId="21" fillId="0" borderId="2" xfId="261" applyNumberFormat="1" applyFont="1" applyFill="1" applyBorder="1" applyAlignment="1">
      <alignment vertical="center" wrapText="1"/>
    </xf>
    <xf numFmtId="206" fontId="24" fillId="0" borderId="32" xfId="261" applyNumberFormat="1" applyFont="1" applyFill="1" applyBorder="1">
      <alignment vertical="center"/>
    </xf>
    <xf numFmtId="0" fontId="21" fillId="0" borderId="17" xfId="261" quotePrefix="1" applyNumberFormat="1" applyFont="1" applyFill="1" applyBorder="1" applyAlignment="1">
      <alignment vertical="center" wrapText="1"/>
    </xf>
    <xf numFmtId="41" fontId="21" fillId="0" borderId="2" xfId="288" quotePrefix="1" applyNumberFormat="1" applyFont="1" applyFill="1" applyBorder="1" applyAlignment="1">
      <alignment vertical="center" wrapText="1"/>
    </xf>
    <xf numFmtId="0" fontId="21" fillId="0" borderId="17" xfId="261" quotePrefix="1" applyNumberFormat="1" applyFont="1" applyFill="1" applyBorder="1" applyAlignment="1" applyProtection="1">
      <alignment vertical="center" wrapText="1"/>
    </xf>
    <xf numFmtId="41" fontId="21" fillId="0" borderId="2" xfId="288" quotePrefix="1" applyNumberFormat="1" applyFont="1" applyFill="1" applyBorder="1" applyAlignment="1" applyProtection="1">
      <alignment vertical="center" wrapText="1"/>
    </xf>
    <xf numFmtId="0" fontId="21" fillId="0" borderId="2" xfId="261" quotePrefix="1" applyNumberFormat="1" applyFont="1" applyFill="1" applyBorder="1" applyAlignment="1" applyProtection="1">
      <alignment vertical="center" wrapText="1"/>
    </xf>
    <xf numFmtId="179" fontId="21" fillId="0" borderId="2" xfId="261" applyNumberFormat="1" applyFont="1" applyFill="1" applyBorder="1" applyAlignment="1" applyProtection="1">
      <alignment vertical="center" wrapText="1"/>
    </xf>
    <xf numFmtId="0" fontId="21" fillId="0" borderId="2" xfId="261" applyNumberFormat="1" applyFont="1" applyFill="1" applyBorder="1" applyAlignment="1" applyProtection="1">
      <alignment horizontal="center" vertical="center" wrapText="1"/>
    </xf>
    <xf numFmtId="206" fontId="24" fillId="0" borderId="32" xfId="261" applyNumberFormat="1" applyFont="1" applyFill="1" applyBorder="1" applyAlignment="1" applyProtection="1">
      <alignment vertical="center" wrapText="1"/>
    </xf>
    <xf numFmtId="0" fontId="24" fillId="0" borderId="38" xfId="261" applyNumberFormat="1" applyFont="1" applyFill="1" applyBorder="1" applyAlignment="1">
      <alignment horizontal="center" vertical="center" shrinkToFit="1"/>
    </xf>
    <xf numFmtId="0" fontId="24" fillId="0" borderId="29" xfId="261" applyNumberFormat="1" applyFont="1" applyFill="1" applyBorder="1" applyAlignment="1">
      <alignment horizontal="center" vertical="center" shrinkToFit="1"/>
    </xf>
    <xf numFmtId="0" fontId="24" fillId="0" borderId="38" xfId="11" applyNumberFormat="1" applyFont="1" applyFill="1" applyBorder="1" applyAlignment="1">
      <alignment horizontal="center" vertical="center" shrinkToFit="1"/>
    </xf>
    <xf numFmtId="0" fontId="24" fillId="0" borderId="29" xfId="11" applyNumberFormat="1" applyFont="1" applyFill="1" applyBorder="1" applyAlignment="1">
      <alignment horizontal="center" vertical="center" shrinkToFit="1"/>
    </xf>
    <xf numFmtId="191" fontId="24" fillId="0" borderId="59" xfId="9" applyNumberFormat="1" applyFont="1" applyFill="1" applyBorder="1" applyAlignment="1">
      <alignment horizontal="right" vertical="center"/>
    </xf>
    <xf numFmtId="0" fontId="21" fillId="0" borderId="57" xfId="12" applyNumberFormat="1" applyFont="1" applyFill="1" applyBorder="1">
      <alignment vertical="center"/>
    </xf>
    <xf numFmtId="177" fontId="21" fillId="0" borderId="57" xfId="12" applyNumberFormat="1" applyFont="1" applyFill="1" applyBorder="1">
      <alignment vertical="center"/>
    </xf>
    <xf numFmtId="177" fontId="21" fillId="0" borderId="57" xfId="12" applyNumberFormat="1" applyFont="1" applyFill="1" applyBorder="1" applyAlignment="1">
      <alignment horizontal="center" vertical="center"/>
    </xf>
    <xf numFmtId="9" fontId="21" fillId="0" borderId="57" xfId="12" applyNumberFormat="1" applyFont="1" applyFill="1" applyBorder="1" applyAlignment="1">
      <alignment horizontal="right" vertical="center"/>
    </xf>
    <xf numFmtId="189" fontId="21" fillId="0" borderId="57" xfId="12" applyNumberFormat="1" applyFont="1" applyFill="1" applyBorder="1">
      <alignment vertical="center"/>
    </xf>
    <xf numFmtId="189" fontId="21" fillId="0" borderId="57" xfId="12" applyNumberFormat="1" applyFont="1" applyFill="1" applyBorder="1" applyAlignment="1">
      <alignment horizontal="right" vertical="center"/>
    </xf>
    <xf numFmtId="192" fontId="21" fillId="0" borderId="58" xfId="12" applyNumberFormat="1" applyFont="1" applyFill="1" applyBorder="1">
      <alignment vertical="center"/>
    </xf>
    <xf numFmtId="0" fontId="24" fillId="0" borderId="15" xfId="12" applyNumberFormat="1" applyFont="1" applyFill="1" applyBorder="1" applyAlignment="1">
      <alignment horizontal="left" vertical="center"/>
    </xf>
    <xf numFmtId="0" fontId="21" fillId="0" borderId="37" xfId="12" applyNumberFormat="1" applyFont="1" applyFill="1" applyBorder="1">
      <alignment vertical="center"/>
    </xf>
    <xf numFmtId="177" fontId="21" fillId="0" borderId="37" xfId="12" applyNumberFormat="1" applyFont="1" applyFill="1" applyBorder="1">
      <alignment vertical="center"/>
    </xf>
    <xf numFmtId="177" fontId="21" fillId="0" borderId="37" xfId="12" applyNumberFormat="1" applyFont="1" applyFill="1" applyBorder="1" applyAlignment="1">
      <alignment horizontal="center" vertical="center"/>
    </xf>
    <xf numFmtId="9" fontId="21" fillId="0" borderId="37" xfId="12" applyNumberFormat="1" applyFont="1" applyFill="1" applyBorder="1" applyAlignment="1">
      <alignment horizontal="right" vertical="center"/>
    </xf>
    <xf numFmtId="189" fontId="21" fillId="0" borderId="37" xfId="12" applyNumberFormat="1" applyFont="1" applyFill="1" applyBorder="1">
      <alignment vertical="center"/>
    </xf>
    <xf numFmtId="189" fontId="21" fillId="0" borderId="37" xfId="12" applyNumberFormat="1" applyFont="1" applyFill="1" applyBorder="1" applyAlignment="1">
      <alignment horizontal="right" vertical="center"/>
    </xf>
    <xf numFmtId="192" fontId="21" fillId="0" borderId="39" xfId="12" applyNumberFormat="1" applyFont="1" applyFill="1" applyBorder="1">
      <alignment vertical="center"/>
    </xf>
    <xf numFmtId="0" fontId="24" fillId="0" borderId="22" xfId="11" applyNumberFormat="1" applyFont="1" applyFill="1" applyBorder="1" applyAlignment="1">
      <alignment vertical="center"/>
    </xf>
    <xf numFmtId="0" fontId="24" fillId="0" borderId="0" xfId="11" applyNumberFormat="1" applyFont="1" applyFill="1" applyBorder="1" applyAlignment="1">
      <alignment horizontal="left" vertical="center"/>
    </xf>
    <xf numFmtId="0" fontId="31" fillId="0" borderId="23" xfId="11" applyNumberFormat="1" applyFont="1" applyFill="1" applyBorder="1" applyAlignment="1">
      <alignment vertical="center"/>
    </xf>
    <xf numFmtId="0" fontId="21" fillId="0" borderId="21" xfId="106" applyNumberFormat="1" applyFont="1" applyFill="1" applyBorder="1" applyAlignment="1">
      <alignment vertical="center"/>
    </xf>
    <xf numFmtId="0" fontId="21" fillId="0" borderId="23" xfId="106" applyNumberFormat="1" applyFont="1" applyFill="1" applyBorder="1" applyAlignment="1">
      <alignment vertical="center"/>
    </xf>
    <xf numFmtId="191" fontId="21" fillId="0" borderId="23" xfId="1" applyNumberFormat="1" applyFont="1" applyFill="1" applyBorder="1" applyAlignment="1">
      <alignment horizontal="right" vertical="center"/>
    </xf>
    <xf numFmtId="0" fontId="21" fillId="0" borderId="19" xfId="106" applyNumberFormat="1" applyFont="1" applyFill="1" applyBorder="1" applyAlignment="1">
      <alignment vertical="center"/>
    </xf>
    <xf numFmtId="191" fontId="21" fillId="0" borderId="26" xfId="1" applyNumberFormat="1" applyFont="1" applyFill="1" applyBorder="1" applyAlignment="1">
      <alignment horizontal="right" vertical="center"/>
    </xf>
    <xf numFmtId="0" fontId="21" fillId="0" borderId="2" xfId="106" applyNumberFormat="1" applyFont="1" applyFill="1" applyBorder="1" applyAlignment="1">
      <alignment horizontal="left" vertical="center"/>
    </xf>
    <xf numFmtId="0" fontId="21" fillId="0" borderId="2" xfId="106" applyNumberFormat="1" applyFont="1" applyFill="1" applyBorder="1" applyAlignment="1">
      <alignment horizontal="right" vertical="center"/>
    </xf>
    <xf numFmtId="177" fontId="21" fillId="0" borderId="2" xfId="106" applyNumberFormat="1" applyFont="1" applyFill="1" applyBorder="1" applyAlignment="1">
      <alignment horizontal="right" vertical="center"/>
    </xf>
    <xf numFmtId="177" fontId="21" fillId="0" borderId="2" xfId="106" applyNumberFormat="1" applyFont="1" applyFill="1" applyBorder="1" applyAlignment="1">
      <alignment horizontal="center" vertical="center"/>
    </xf>
    <xf numFmtId="9" fontId="23" fillId="0" borderId="2" xfId="106" applyNumberFormat="1" applyFont="1" applyFill="1" applyBorder="1" applyAlignment="1">
      <alignment horizontal="center" vertical="center"/>
    </xf>
    <xf numFmtId="178" fontId="21" fillId="0" borderId="32" xfId="106" applyNumberFormat="1" applyFont="1" applyFill="1" applyBorder="1" applyAlignment="1">
      <alignment vertical="center"/>
    </xf>
    <xf numFmtId="0" fontId="21" fillId="0" borderId="36" xfId="106" applyNumberFormat="1" applyFont="1" applyFill="1" applyBorder="1" applyAlignment="1">
      <alignment vertical="center"/>
    </xf>
    <xf numFmtId="191" fontId="21" fillId="0" borderId="36" xfId="1" applyNumberFormat="1" applyFont="1" applyFill="1" applyBorder="1" applyAlignment="1">
      <alignment horizontal="right" vertical="center"/>
    </xf>
    <xf numFmtId="177" fontId="24" fillId="0" borderId="0" xfId="11" applyNumberFormat="1" applyFont="1" applyFill="1" applyBorder="1" applyAlignment="1">
      <alignment horizontal="right" vertical="center"/>
    </xf>
    <xf numFmtId="177" fontId="24" fillId="0" borderId="0" xfId="11" applyNumberFormat="1" applyFont="1" applyFill="1" applyBorder="1" applyAlignment="1">
      <alignment horizontal="center" vertical="center"/>
    </xf>
    <xf numFmtId="9" fontId="24" fillId="0" borderId="0" xfId="11" applyNumberFormat="1" applyFont="1" applyFill="1" applyBorder="1" applyAlignment="1">
      <alignment horizontal="center" vertical="center"/>
    </xf>
    <xf numFmtId="189" fontId="24" fillId="0" borderId="0" xfId="11" applyNumberFormat="1" applyFont="1" applyFill="1" applyBorder="1" applyAlignment="1">
      <alignment horizontal="right" vertical="center"/>
    </xf>
    <xf numFmtId="189" fontId="35" fillId="0" borderId="0" xfId="11" applyNumberFormat="1" applyFont="1" applyFill="1" applyBorder="1" applyAlignment="1">
      <alignment horizontal="center" vertical="center"/>
    </xf>
    <xf numFmtId="0" fontId="24" fillId="0" borderId="41" xfId="11" applyNumberFormat="1" applyFont="1" applyFill="1" applyBorder="1" applyAlignment="1">
      <alignment horizontal="left" vertical="center"/>
    </xf>
    <xf numFmtId="0" fontId="21" fillId="0" borderId="36" xfId="106" applyNumberFormat="1" applyFont="1" applyFill="1" applyBorder="1">
      <alignment vertical="center"/>
    </xf>
    <xf numFmtId="191" fontId="21" fillId="0" borderId="23" xfId="1" applyNumberFormat="1" applyFont="1" applyFill="1" applyBorder="1" applyAlignment="1">
      <alignment vertical="center"/>
    </xf>
    <xf numFmtId="0" fontId="21" fillId="0" borderId="21" xfId="106" applyNumberFormat="1" applyFont="1" applyFill="1" applyBorder="1">
      <alignment vertical="center"/>
    </xf>
    <xf numFmtId="0" fontId="21" fillId="0" borderId="23" xfId="106" applyNumberFormat="1" applyFont="1" applyFill="1" applyBorder="1">
      <alignment vertical="center"/>
    </xf>
    <xf numFmtId="9" fontId="29" fillId="0" borderId="19" xfId="106" applyNumberFormat="1" applyFont="1" applyFill="1" applyBorder="1" applyAlignment="1">
      <alignment vertical="center" shrinkToFit="1"/>
    </xf>
    <xf numFmtId="191" fontId="21" fillId="0" borderId="19" xfId="1" applyNumberFormat="1" applyFont="1" applyFill="1" applyBorder="1" applyAlignment="1">
      <alignment horizontal="right" vertical="center"/>
    </xf>
    <xf numFmtId="0" fontId="30" fillId="0" borderId="17" xfId="106" applyNumberFormat="1" applyFont="1" applyFill="1" applyBorder="1" applyAlignment="1">
      <alignment horizontal="left" vertical="center"/>
    </xf>
    <xf numFmtId="0" fontId="30" fillId="0" borderId="2" xfId="106" applyNumberFormat="1" applyFont="1" applyFill="1" applyBorder="1" applyAlignment="1">
      <alignment horizontal="right" vertical="center"/>
    </xf>
    <xf numFmtId="0" fontId="30" fillId="0" borderId="2" xfId="106" applyNumberFormat="1" applyFont="1" applyFill="1" applyBorder="1" applyAlignment="1">
      <alignment horizontal="center" vertical="center"/>
    </xf>
    <xf numFmtId="177" fontId="30" fillId="0" borderId="2" xfId="106" applyNumberFormat="1" applyFont="1" applyFill="1" applyBorder="1" applyAlignment="1">
      <alignment horizontal="center" vertical="center"/>
    </xf>
    <xf numFmtId="177" fontId="30" fillId="0" borderId="2" xfId="106" applyNumberFormat="1" applyFont="1" applyFill="1" applyBorder="1" applyAlignment="1">
      <alignment horizontal="right" vertical="center"/>
    </xf>
    <xf numFmtId="178" fontId="30" fillId="0" borderId="32" xfId="106" applyNumberFormat="1" applyFont="1" applyFill="1" applyBorder="1" applyAlignment="1">
      <alignment vertical="center"/>
    </xf>
    <xf numFmtId="0" fontId="21" fillId="0" borderId="41" xfId="106" applyNumberFormat="1" applyFont="1" applyFill="1" applyBorder="1" applyAlignment="1">
      <alignment vertical="center" wrapText="1"/>
    </xf>
    <xf numFmtId="0" fontId="21" fillId="0" borderId="0" xfId="106" applyNumberFormat="1" applyFont="1" applyFill="1" applyBorder="1" applyAlignment="1">
      <alignment horizontal="left" vertical="center"/>
    </xf>
    <xf numFmtId="206" fontId="21" fillId="0" borderId="0" xfId="106" applyNumberFormat="1" applyFont="1" applyFill="1" applyBorder="1" applyAlignment="1">
      <alignment horizontal="right" vertical="center"/>
    </xf>
    <xf numFmtId="0" fontId="21" fillId="0" borderId="0" xfId="106" applyNumberFormat="1" applyFont="1" applyFill="1" applyBorder="1" applyAlignment="1">
      <alignment horizontal="right" vertical="center"/>
    </xf>
    <xf numFmtId="177" fontId="21" fillId="0" borderId="0" xfId="106" applyNumberFormat="1" applyFont="1" applyFill="1" applyBorder="1" applyAlignment="1">
      <alignment horizontal="right" vertical="center"/>
    </xf>
    <xf numFmtId="196" fontId="21" fillId="0" borderId="0" xfId="4" applyNumberFormat="1" applyFont="1" applyFill="1" applyBorder="1" applyAlignment="1">
      <alignment horizontal="right" vertical="center"/>
    </xf>
    <xf numFmtId="0" fontId="21" fillId="0" borderId="19" xfId="106" applyNumberFormat="1" applyFont="1" applyFill="1" applyBorder="1" applyAlignment="1">
      <alignment vertical="center" wrapText="1"/>
    </xf>
    <xf numFmtId="0" fontId="21" fillId="0" borderId="36" xfId="106" applyNumberFormat="1" applyFont="1" applyFill="1" applyBorder="1" applyAlignment="1">
      <alignment vertical="center" wrapText="1"/>
    </xf>
    <xf numFmtId="0" fontId="21" fillId="0" borderId="31" xfId="106" applyNumberFormat="1" applyFont="1" applyFill="1" applyBorder="1" applyAlignment="1">
      <alignment horizontal="right" vertical="center"/>
    </xf>
    <xf numFmtId="177" fontId="21" fillId="0" borderId="31" xfId="106" applyNumberFormat="1" applyFont="1" applyFill="1" applyBorder="1" applyAlignment="1">
      <alignment horizontal="right" vertical="center"/>
    </xf>
    <xf numFmtId="10" fontId="21" fillId="0" borderId="0" xfId="289" applyNumberFormat="1" applyFont="1" applyFill="1" applyBorder="1" applyAlignment="1">
      <alignment horizontal="right" vertical="center"/>
    </xf>
    <xf numFmtId="178" fontId="24" fillId="0" borderId="33" xfId="106" applyNumberFormat="1" applyFont="1" applyFill="1" applyBorder="1" applyAlignment="1">
      <alignment vertical="center"/>
    </xf>
    <xf numFmtId="0" fontId="21" fillId="0" borderId="41" xfId="106" applyNumberFormat="1" applyFont="1" applyFill="1" applyBorder="1" applyAlignment="1">
      <alignment horizontal="left" vertical="center"/>
    </xf>
    <xf numFmtId="0" fontId="25" fillId="0" borderId="19" xfId="106" applyNumberFormat="1" applyFont="1" applyFill="1" applyBorder="1" applyAlignment="1">
      <alignment vertical="center" shrinkToFit="1"/>
    </xf>
    <xf numFmtId="0" fontId="21" fillId="0" borderId="41" xfId="106" applyNumberFormat="1" applyFont="1" applyFill="1" applyBorder="1">
      <alignment vertical="center"/>
    </xf>
    <xf numFmtId="191" fontId="21" fillId="0" borderId="31" xfId="1" applyNumberFormat="1" applyFont="1" applyFill="1" applyBorder="1" applyAlignment="1">
      <alignment horizontal="right" vertical="center"/>
    </xf>
    <xf numFmtId="191" fontId="21" fillId="0" borderId="19" xfId="106" applyNumberFormat="1" applyFont="1" applyFill="1" applyBorder="1" applyAlignment="1">
      <alignment horizontal="right" vertical="center"/>
    </xf>
    <xf numFmtId="0" fontId="21" fillId="0" borderId="17" xfId="106" quotePrefix="1" applyNumberFormat="1" applyFont="1" applyFill="1" applyBorder="1" applyAlignment="1">
      <alignment horizontal="left" vertical="center"/>
    </xf>
    <xf numFmtId="0" fontId="21" fillId="0" borderId="2" xfId="106" quotePrefix="1" applyNumberFormat="1" applyFont="1" applyFill="1" applyBorder="1" applyAlignment="1">
      <alignment horizontal="right" vertical="center"/>
    </xf>
    <xf numFmtId="0" fontId="21" fillId="0" borderId="2" xfId="106" quotePrefix="1" applyNumberFormat="1" applyFont="1" applyFill="1" applyBorder="1" applyAlignment="1">
      <alignment horizontal="center" vertical="center"/>
    </xf>
    <xf numFmtId="0" fontId="21" fillId="0" borderId="23" xfId="106" applyNumberFormat="1" applyFont="1" applyFill="1" applyBorder="1" applyAlignment="1">
      <alignment vertical="center" wrapText="1"/>
    </xf>
    <xf numFmtId="0" fontId="21" fillId="0" borderId="16" xfId="11" applyNumberFormat="1" applyFont="1" applyFill="1" applyBorder="1" applyAlignment="1">
      <alignment horizontal="left" vertical="center"/>
    </xf>
    <xf numFmtId="191" fontId="21" fillId="0" borderId="40" xfId="9" applyNumberFormat="1" applyFont="1" applyFill="1" applyBorder="1" applyAlignment="1">
      <alignment horizontal="right" vertical="center"/>
    </xf>
    <xf numFmtId="0" fontId="21" fillId="0" borderId="25" xfId="163" applyNumberFormat="1" applyFont="1" applyFill="1" applyBorder="1">
      <alignment vertical="center"/>
    </xf>
    <xf numFmtId="177" fontId="21" fillId="0" borderId="37" xfId="163" applyNumberFormat="1" applyFont="1" applyFill="1" applyBorder="1">
      <alignment vertical="center"/>
    </xf>
    <xf numFmtId="186" fontId="21" fillId="0" borderId="37" xfId="163" applyNumberFormat="1" applyFont="1" applyFill="1" applyBorder="1" applyAlignment="1" applyProtection="1">
      <alignment vertical="center"/>
    </xf>
    <xf numFmtId="178" fontId="24" fillId="0" borderId="39" xfId="163" applyNumberFormat="1" applyFont="1" applyFill="1" applyBorder="1" applyAlignment="1">
      <alignment horizontal="right" vertical="center"/>
    </xf>
    <xf numFmtId="0" fontId="21" fillId="0" borderId="19" xfId="106" applyNumberFormat="1" applyFont="1" applyFill="1" applyBorder="1">
      <alignment vertical="center"/>
    </xf>
    <xf numFmtId="9" fontId="21" fillId="0" borderId="2" xfId="106" applyNumberFormat="1" applyFont="1" applyFill="1" applyBorder="1" applyAlignment="1">
      <alignment horizontal="center" vertical="center"/>
    </xf>
    <xf numFmtId="189" fontId="21" fillId="0" borderId="2" xfId="106" applyNumberFormat="1" applyFont="1" applyFill="1" applyBorder="1" applyAlignment="1">
      <alignment horizontal="right" vertical="center"/>
    </xf>
    <xf numFmtId="189" fontId="23" fillId="0" borderId="2" xfId="106" applyNumberFormat="1" applyFont="1" applyFill="1" applyBorder="1" applyAlignment="1">
      <alignment horizontal="center" vertical="center"/>
    </xf>
    <xf numFmtId="0" fontId="21" fillId="0" borderId="22" xfId="106" applyNumberFormat="1" applyFont="1" applyFill="1" applyBorder="1">
      <alignment vertical="center"/>
    </xf>
    <xf numFmtId="0" fontId="21" fillId="0" borderId="19" xfId="106" applyNumberFormat="1" applyFont="1" applyFill="1" applyBorder="1" applyAlignment="1">
      <alignment horizontal="left" vertical="center"/>
    </xf>
    <xf numFmtId="0" fontId="21" fillId="0" borderId="24" xfId="106" applyNumberFormat="1" applyFont="1" applyFill="1" applyBorder="1">
      <alignment vertical="center"/>
    </xf>
    <xf numFmtId="177" fontId="21" fillId="0" borderId="31" xfId="106" applyNumberFormat="1" applyFont="1" applyFill="1" applyBorder="1">
      <alignment vertical="center"/>
    </xf>
    <xf numFmtId="177" fontId="21" fillId="0" borderId="31" xfId="106" applyNumberFormat="1" applyFont="1" applyFill="1" applyBorder="1" applyAlignment="1">
      <alignment horizontal="center" vertical="center"/>
    </xf>
    <xf numFmtId="189" fontId="21" fillId="0" borderId="31" xfId="106" applyNumberFormat="1" applyFont="1" applyFill="1" applyBorder="1">
      <alignment vertical="center"/>
    </xf>
    <xf numFmtId="189" fontId="21" fillId="0" borderId="31" xfId="106" applyNumberFormat="1" applyFont="1" applyFill="1" applyBorder="1" applyAlignment="1">
      <alignment horizontal="center" vertical="center"/>
    </xf>
    <xf numFmtId="3" fontId="21" fillId="0" borderId="31" xfId="106" applyNumberFormat="1" applyFont="1" applyFill="1" applyBorder="1" applyAlignment="1">
      <alignment horizontal="right" vertical="center"/>
    </xf>
    <xf numFmtId="189" fontId="23" fillId="0" borderId="31" xfId="106" applyNumberFormat="1" applyFont="1" applyFill="1" applyBorder="1" applyAlignment="1">
      <alignment horizontal="center" vertical="center"/>
    </xf>
    <xf numFmtId="177" fontId="24" fillId="0" borderId="34" xfId="106" applyNumberFormat="1" applyFont="1" applyFill="1" applyBorder="1" applyAlignment="1">
      <alignment horizontal="right" vertical="center"/>
    </xf>
    <xf numFmtId="0" fontId="21" fillId="0" borderId="23" xfId="106" applyNumberFormat="1" applyFont="1" applyFill="1" applyBorder="1" applyAlignment="1">
      <alignment horizontal="left" vertical="center"/>
    </xf>
    <xf numFmtId="0" fontId="21" fillId="0" borderId="21" xfId="106" applyNumberFormat="1" applyFont="1" applyFill="1" applyBorder="1" applyAlignment="1">
      <alignment horizontal="center" vertical="center"/>
    </xf>
    <xf numFmtId="0" fontId="21" fillId="0" borderId="24" xfId="106" applyNumberFormat="1" applyFont="1" applyFill="1" applyBorder="1" applyAlignment="1">
      <alignment horizontal="left" vertical="center"/>
    </xf>
    <xf numFmtId="9" fontId="21" fillId="0" borderId="31" xfId="106" applyNumberFormat="1" applyFont="1" applyFill="1" applyBorder="1" applyAlignment="1">
      <alignment horizontal="center" vertical="center"/>
    </xf>
    <xf numFmtId="189" fontId="21" fillId="0" borderId="31" xfId="106" applyNumberFormat="1" applyFont="1" applyFill="1" applyBorder="1" applyAlignment="1">
      <alignment horizontal="right" vertical="center"/>
    </xf>
    <xf numFmtId="178" fontId="24" fillId="0" borderId="34" xfId="106" applyNumberFormat="1" applyFont="1" applyFill="1" applyBorder="1" applyAlignment="1">
      <alignment horizontal="right" vertical="center"/>
    </xf>
    <xf numFmtId="0" fontId="21" fillId="0" borderId="22" xfId="106" applyNumberFormat="1" applyFont="1" applyFill="1" applyBorder="1" applyAlignment="1">
      <alignment horizontal="center" vertical="center"/>
    </xf>
    <xf numFmtId="191" fontId="21" fillId="0" borderId="22" xfId="9" applyNumberFormat="1" applyFont="1" applyFill="1" applyBorder="1" applyAlignment="1">
      <alignment vertical="center"/>
    </xf>
    <xf numFmtId="200" fontId="21" fillId="0" borderId="31" xfId="289" applyNumberFormat="1" applyFont="1" applyFill="1" applyBorder="1" applyAlignment="1">
      <alignment vertical="center" shrinkToFit="1"/>
    </xf>
    <xf numFmtId="200" fontId="21" fillId="0" borderId="0" xfId="289" applyNumberFormat="1" applyFont="1" applyFill="1" applyBorder="1" applyAlignment="1">
      <alignment vertical="center" shrinkToFit="1"/>
    </xf>
    <xf numFmtId="204" fontId="21" fillId="0" borderId="0" xfId="289" applyNumberFormat="1" applyFont="1" applyFill="1" applyBorder="1" applyAlignment="1">
      <alignment vertical="center" shrinkToFit="1"/>
    </xf>
    <xf numFmtId="215" fontId="21" fillId="0" borderId="0" xfId="289" applyNumberFormat="1" applyFont="1" applyFill="1" applyBorder="1" applyAlignment="1">
      <alignment vertical="center" shrinkToFit="1"/>
    </xf>
    <xf numFmtId="191" fontId="21" fillId="0" borderId="41" xfId="9" applyNumberFormat="1" applyFont="1" applyFill="1" applyBorder="1" applyAlignment="1">
      <alignment vertical="center"/>
    </xf>
    <xf numFmtId="179" fontId="21" fillId="0" borderId="0" xfId="11" applyNumberFormat="1" applyFont="1" applyFill="1" applyBorder="1" applyAlignment="1" applyProtection="1">
      <alignment horizontal="right" vertical="center" shrinkToFit="1"/>
    </xf>
    <xf numFmtId="184" fontId="21" fillId="0" borderId="0" xfId="11" applyNumberFormat="1" applyFont="1" applyFill="1" applyBorder="1" applyAlignment="1" applyProtection="1">
      <alignment horizontal="center" vertical="center"/>
    </xf>
    <xf numFmtId="0" fontId="21" fillId="0" borderId="17" xfId="106" applyNumberFormat="1" applyFont="1" applyFill="1" applyBorder="1" applyAlignment="1" applyProtection="1">
      <alignment vertical="center"/>
    </xf>
    <xf numFmtId="177" fontId="21" fillId="0" borderId="2" xfId="106" applyNumberFormat="1" applyFont="1" applyFill="1" applyBorder="1" applyAlignment="1" applyProtection="1">
      <alignment horizontal="right" vertical="center"/>
    </xf>
    <xf numFmtId="177" fontId="21" fillId="0" borderId="2" xfId="106" applyNumberFormat="1" applyFont="1" applyFill="1" applyBorder="1" applyAlignment="1" applyProtection="1">
      <alignment horizontal="center" vertical="center"/>
    </xf>
    <xf numFmtId="9" fontId="21" fillId="0" borderId="2" xfId="106" applyNumberFormat="1" applyFont="1" applyFill="1" applyBorder="1" applyAlignment="1" applyProtection="1">
      <alignment horizontal="right" vertical="center"/>
    </xf>
    <xf numFmtId="177" fontId="21" fillId="0" borderId="2" xfId="106" applyNumberFormat="1" applyFont="1" applyFill="1" applyBorder="1" applyAlignment="1" applyProtection="1">
      <alignment vertical="center"/>
    </xf>
    <xf numFmtId="189" fontId="21" fillId="0" borderId="2" xfId="106" applyNumberFormat="1" applyFont="1" applyFill="1" applyBorder="1" applyAlignment="1" applyProtection="1">
      <alignment horizontal="right" vertical="center"/>
    </xf>
    <xf numFmtId="189" fontId="21" fillId="0" borderId="2" xfId="106" applyNumberFormat="1" applyFont="1" applyFill="1" applyBorder="1" applyAlignment="1" applyProtection="1">
      <alignment horizontal="center" vertical="center"/>
    </xf>
    <xf numFmtId="178" fontId="21" fillId="0" borderId="32" xfId="106" applyNumberFormat="1" applyFont="1" applyFill="1" applyBorder="1" applyAlignment="1" applyProtection="1">
      <alignment horizontal="right" vertical="center"/>
    </xf>
    <xf numFmtId="191" fontId="21" fillId="0" borderId="23" xfId="106" applyNumberFormat="1" applyFont="1" applyFill="1" applyBorder="1" applyAlignment="1">
      <alignment horizontal="right" vertical="center" wrapText="1"/>
    </xf>
    <xf numFmtId="0" fontId="21" fillId="0" borderId="17" xfId="106" applyNumberFormat="1" applyFont="1" applyFill="1" applyBorder="1" applyAlignment="1">
      <alignment horizontal="left" vertical="center"/>
    </xf>
    <xf numFmtId="186" fontId="21" fillId="0" borderId="2" xfId="106" applyNumberFormat="1" applyFont="1" applyFill="1" applyBorder="1" applyAlignment="1">
      <alignment horizontal="right" vertical="center"/>
    </xf>
    <xf numFmtId="178" fontId="21" fillId="0" borderId="17" xfId="9" applyNumberFormat="1" applyFont="1" applyFill="1" applyBorder="1" applyAlignment="1">
      <alignment horizontal="right" vertical="center"/>
    </xf>
    <xf numFmtId="180" fontId="21" fillId="0" borderId="0" xfId="20" applyNumberFormat="1" applyFont="1" applyFill="1" applyBorder="1" applyAlignment="1">
      <alignment vertical="center"/>
    </xf>
    <xf numFmtId="0" fontId="38" fillId="0" borderId="15" xfId="11" applyNumberFormat="1" applyFont="1" applyFill="1" applyBorder="1" applyAlignment="1">
      <alignment vertical="center" wrapText="1"/>
    </xf>
    <xf numFmtId="0" fontId="29" fillId="0" borderId="19" xfId="11" applyNumberFormat="1" applyFont="1" applyFill="1" applyBorder="1" applyAlignment="1">
      <alignment horizontal="left" vertical="center"/>
    </xf>
    <xf numFmtId="0" fontId="24" fillId="0" borderId="0" xfId="11" applyNumberFormat="1" applyFont="1" applyFill="1" applyBorder="1">
      <alignment vertical="center"/>
    </xf>
    <xf numFmtId="0" fontId="24" fillId="0" borderId="15" xfId="11" applyNumberFormat="1" applyFont="1" applyFill="1" applyBorder="1">
      <alignment vertical="center"/>
    </xf>
    <xf numFmtId="191" fontId="24" fillId="0" borderId="19" xfId="11" applyNumberFormat="1" applyFont="1" applyFill="1" applyBorder="1" applyAlignment="1">
      <alignment horizontal="right" vertical="center"/>
    </xf>
    <xf numFmtId="191" fontId="21" fillId="0" borderId="19" xfId="288" applyNumberFormat="1" applyFont="1" applyFill="1" applyBorder="1" applyAlignment="1">
      <alignment horizontal="right" vertical="center"/>
    </xf>
    <xf numFmtId="0" fontId="39" fillId="0" borderId="17" xfId="20" applyNumberFormat="1" applyFont="1" applyFill="1" applyBorder="1"/>
    <xf numFmtId="181" fontId="21" fillId="0" borderId="2" xfId="11" applyNumberFormat="1" applyFont="1" applyFill="1" applyBorder="1" applyAlignment="1">
      <alignment horizontal="right" vertical="center"/>
    </xf>
    <xf numFmtId="177" fontId="21" fillId="0" borderId="0" xfId="20" applyNumberFormat="1" applyFont="1" applyFill="1" applyBorder="1"/>
    <xf numFmtId="178" fontId="24" fillId="0" borderId="33" xfId="289" applyNumberFormat="1" applyFont="1" applyFill="1" applyBorder="1" applyAlignment="1">
      <alignment horizontal="right" vertical="center" shrinkToFit="1"/>
    </xf>
    <xf numFmtId="0" fontId="21" fillId="0" borderId="21" xfId="133" applyNumberFormat="1" applyFont="1" applyFill="1" applyBorder="1">
      <alignment vertical="center"/>
    </xf>
    <xf numFmtId="0" fontId="21" fillId="0" borderId="23" xfId="133" applyNumberFormat="1" applyFont="1" applyFill="1" applyBorder="1">
      <alignment vertical="center"/>
    </xf>
    <xf numFmtId="191" fontId="21" fillId="0" borderId="36" xfId="133" applyNumberFormat="1" applyFont="1" applyFill="1" applyBorder="1" applyAlignment="1">
      <alignment horizontal="right" vertical="center"/>
    </xf>
    <xf numFmtId="0" fontId="21" fillId="0" borderId="36" xfId="133" applyNumberFormat="1" applyFont="1" applyFill="1" applyBorder="1">
      <alignment vertical="center"/>
    </xf>
    <xf numFmtId="0" fontId="24" fillId="0" borderId="23" xfId="11" applyNumberFormat="1" applyFont="1" applyFill="1" applyBorder="1" applyAlignment="1">
      <alignment horizontal="left" vertical="center"/>
    </xf>
    <xf numFmtId="0" fontId="40" fillId="0" borderId="0" xfId="133" applyNumberFormat="1" applyFont="1" applyFill="1" applyBorder="1" applyAlignment="1">
      <alignment vertical="center" wrapText="1"/>
    </xf>
    <xf numFmtId="191" fontId="40" fillId="0" borderId="23" xfId="133" applyNumberFormat="1" applyFont="1" applyFill="1" applyBorder="1" applyAlignment="1">
      <alignment horizontal="right" vertical="center" wrapText="1"/>
    </xf>
    <xf numFmtId="0" fontId="29" fillId="0" borderId="19" xfId="20" applyNumberFormat="1" applyFont="1" applyFill="1" applyBorder="1" applyAlignment="1">
      <alignment horizontal="left" vertical="center" wrapText="1"/>
    </xf>
    <xf numFmtId="186" fontId="21" fillId="0" borderId="2" xfId="163" applyNumberFormat="1" applyFont="1" applyFill="1" applyBorder="1">
      <alignment vertical="center"/>
    </xf>
    <xf numFmtId="206" fontId="24" fillId="0" borderId="2" xfId="163" applyNumberFormat="1" applyFont="1" applyFill="1" applyBorder="1" applyAlignment="1">
      <alignment horizontal="right" vertical="center"/>
    </xf>
    <xf numFmtId="178" fontId="21" fillId="0" borderId="32" xfId="20" applyNumberFormat="1" applyFont="1" applyFill="1" applyBorder="1" applyAlignment="1">
      <alignment vertical="center"/>
    </xf>
    <xf numFmtId="0" fontId="21" fillId="0" borderId="41" xfId="20" quotePrefix="1" applyNumberFormat="1" applyFont="1" applyFill="1" applyBorder="1"/>
    <xf numFmtId="0" fontId="21" fillId="0" borderId="2" xfId="20" applyNumberFormat="1" applyFont="1" applyFill="1" applyBorder="1"/>
    <xf numFmtId="0" fontId="21" fillId="0" borderId="31" xfId="20" applyNumberFormat="1" applyFont="1" applyFill="1" applyBorder="1"/>
    <xf numFmtId="0" fontId="24" fillId="0" borderId="15" xfId="106" applyNumberFormat="1" applyFont="1" applyFill="1" applyBorder="1" applyAlignment="1">
      <alignment vertical="center"/>
    </xf>
    <xf numFmtId="191" fontId="24" fillId="0" borderId="19" xfId="106" applyNumberFormat="1" applyFont="1" applyFill="1" applyBorder="1" applyAlignment="1">
      <alignment horizontal="right" vertical="center"/>
    </xf>
    <xf numFmtId="0" fontId="21" fillId="0" borderId="17" xfId="106" applyNumberFormat="1" applyFont="1" applyFill="1" applyBorder="1" applyAlignment="1" applyProtection="1">
      <alignment horizontal="left" vertical="center"/>
    </xf>
    <xf numFmtId="0" fontId="21" fillId="0" borderId="40" xfId="106" applyNumberFormat="1" applyFont="1" applyFill="1" applyBorder="1" applyAlignment="1">
      <alignment vertical="center"/>
    </xf>
    <xf numFmtId="191" fontId="21" fillId="0" borderId="25" xfId="106" applyNumberFormat="1" applyFont="1" applyFill="1" applyBorder="1" applyAlignment="1">
      <alignment horizontal="right" vertical="center"/>
    </xf>
    <xf numFmtId="0" fontId="21" fillId="0" borderId="37" xfId="106" applyNumberFormat="1" applyFont="1" applyFill="1" applyBorder="1" applyAlignment="1">
      <alignment horizontal="left" vertical="center"/>
    </xf>
    <xf numFmtId="177" fontId="21" fillId="0" borderId="37" xfId="106" applyNumberFormat="1" applyFont="1" applyFill="1" applyBorder="1" applyAlignment="1">
      <alignment horizontal="right" vertical="center"/>
    </xf>
    <xf numFmtId="177" fontId="21" fillId="0" borderId="37" xfId="106" applyNumberFormat="1" applyFont="1" applyFill="1" applyBorder="1" applyAlignment="1">
      <alignment horizontal="center" vertical="center"/>
    </xf>
    <xf numFmtId="9" fontId="21" fillId="0" borderId="37" xfId="106" applyNumberFormat="1" applyFont="1" applyFill="1" applyBorder="1" applyAlignment="1">
      <alignment horizontal="right" vertical="center"/>
    </xf>
    <xf numFmtId="189" fontId="21" fillId="0" borderId="37" xfId="106" applyNumberFormat="1" applyFont="1" applyFill="1" applyBorder="1" applyAlignment="1">
      <alignment horizontal="right" vertical="center"/>
    </xf>
    <xf numFmtId="189" fontId="21" fillId="0" borderId="37" xfId="106" applyNumberFormat="1" applyFont="1" applyFill="1" applyBorder="1" applyAlignment="1">
      <alignment horizontal="center" vertical="center"/>
    </xf>
    <xf numFmtId="0" fontId="21" fillId="0" borderId="17" xfId="106" applyNumberFormat="1" applyFont="1" applyFill="1" applyBorder="1">
      <alignment vertical="center"/>
    </xf>
    <xf numFmtId="9" fontId="21" fillId="0" borderId="2" xfId="106" applyNumberFormat="1" applyFont="1" applyFill="1" applyBorder="1" applyAlignment="1">
      <alignment horizontal="right" vertical="center"/>
    </xf>
    <xf numFmtId="177" fontId="21" fillId="0" borderId="2" xfId="106" applyNumberFormat="1" applyFont="1" applyFill="1" applyBorder="1" applyAlignment="1">
      <alignment vertical="center"/>
    </xf>
    <xf numFmtId="189" fontId="21" fillId="0" borderId="2" xfId="106" applyNumberFormat="1" applyFont="1" applyFill="1" applyBorder="1">
      <alignment vertical="center"/>
    </xf>
    <xf numFmtId="189" fontId="21" fillId="0" borderId="2" xfId="106" applyNumberFormat="1" applyFont="1" applyFill="1" applyBorder="1" applyAlignment="1">
      <alignment horizontal="center" vertical="center"/>
    </xf>
    <xf numFmtId="178" fontId="24" fillId="0" borderId="32" xfId="106" applyNumberFormat="1" applyFont="1" applyFill="1" applyBorder="1" applyAlignment="1">
      <alignment horizontal="right" vertical="center"/>
    </xf>
    <xf numFmtId="177" fontId="21" fillId="0" borderId="0" xfId="163" applyNumberFormat="1" applyFont="1" applyFill="1" applyBorder="1" applyAlignment="1">
      <alignment horizontal="right" vertical="center"/>
    </xf>
    <xf numFmtId="177" fontId="21" fillId="0" borderId="0" xfId="163" applyNumberFormat="1" applyFont="1" applyFill="1" applyBorder="1" applyAlignment="1">
      <alignment vertical="center"/>
    </xf>
    <xf numFmtId="0" fontId="26" fillId="0" borderId="15" xfId="11" applyNumberFormat="1" applyFont="1" applyFill="1" applyBorder="1" applyAlignment="1">
      <alignment vertical="center" shrinkToFit="1"/>
    </xf>
    <xf numFmtId="0" fontId="21" fillId="0" borderId="17" xfId="106" quotePrefix="1" applyNumberFormat="1" applyFont="1" applyFill="1" applyBorder="1">
      <alignment vertical="center"/>
    </xf>
    <xf numFmtId="179" fontId="21" fillId="0" borderId="2" xfId="106" applyNumberFormat="1" applyFont="1" applyFill="1" applyBorder="1" applyAlignment="1">
      <alignment vertical="center"/>
    </xf>
    <xf numFmtId="186" fontId="21" fillId="0" borderId="2" xfId="106" applyNumberFormat="1" applyFont="1" applyFill="1" applyBorder="1" applyAlignment="1">
      <alignment vertical="center"/>
    </xf>
    <xf numFmtId="207" fontId="21" fillId="0" borderId="2" xfId="106" applyNumberFormat="1" applyFont="1" applyFill="1" applyBorder="1" applyAlignment="1">
      <alignment horizontal="right" vertical="center"/>
    </xf>
    <xf numFmtId="205" fontId="21" fillId="0" borderId="2" xfId="106" applyNumberFormat="1" applyFont="1" applyFill="1" applyBorder="1" applyAlignment="1">
      <alignment vertical="center"/>
    </xf>
    <xf numFmtId="0" fontId="21" fillId="0" borderId="24" xfId="106" applyNumberFormat="1" applyFont="1" applyFill="1" applyBorder="1" applyAlignment="1">
      <alignment vertical="center" shrinkToFit="1"/>
    </xf>
    <xf numFmtId="0" fontId="21" fillId="0" borderId="24" xfId="106" quotePrefix="1" applyNumberFormat="1" applyFont="1" applyFill="1" applyBorder="1">
      <alignment vertical="center"/>
    </xf>
    <xf numFmtId="177" fontId="21" fillId="0" borderId="31" xfId="106" applyNumberFormat="1" applyFont="1" applyFill="1" applyBorder="1" applyAlignment="1">
      <alignment vertical="center"/>
    </xf>
    <xf numFmtId="179" fontId="21" fillId="0" borderId="31" xfId="106" applyNumberFormat="1" applyFont="1" applyFill="1" applyBorder="1" applyAlignment="1">
      <alignment vertical="center"/>
    </xf>
    <xf numFmtId="186" fontId="21" fillId="0" borderId="31" xfId="106" applyNumberFormat="1" applyFont="1" applyFill="1" applyBorder="1" applyAlignment="1">
      <alignment vertical="center"/>
    </xf>
    <xf numFmtId="207" fontId="21" fillId="0" borderId="31" xfId="106" applyNumberFormat="1" applyFont="1" applyFill="1" applyBorder="1" applyAlignment="1">
      <alignment horizontal="right" vertical="center"/>
    </xf>
    <xf numFmtId="205" fontId="21" fillId="0" borderId="31" xfId="106" applyNumberFormat="1" applyFont="1" applyFill="1" applyBorder="1" applyAlignment="1">
      <alignment vertical="center"/>
    </xf>
    <xf numFmtId="177" fontId="21" fillId="0" borderId="2" xfId="20" applyNumberFormat="1" applyFont="1" applyFill="1" applyBorder="1" applyAlignment="1">
      <alignment horizontal="right" vertical="center"/>
    </xf>
    <xf numFmtId="186" fontId="21" fillId="0" borderId="2" xfId="20" applyNumberFormat="1" applyFont="1" applyFill="1" applyBorder="1" applyAlignment="1">
      <alignment horizontal="right" vertical="center"/>
    </xf>
    <xf numFmtId="178" fontId="21" fillId="0" borderId="0" xfId="20" applyNumberFormat="1" applyFont="1" applyFill="1" applyBorder="1" applyAlignment="1">
      <alignment vertical="center"/>
    </xf>
    <xf numFmtId="194" fontId="21" fillId="0" borderId="0" xfId="20" applyNumberFormat="1" applyFont="1" applyFill="1" applyBorder="1" applyAlignment="1">
      <alignment horizontal="right" vertical="center"/>
    </xf>
    <xf numFmtId="0" fontId="21" fillId="0" borderId="35" xfId="163" applyNumberFormat="1" applyFont="1" applyFill="1" applyBorder="1" applyAlignment="1">
      <alignment vertical="center"/>
    </xf>
    <xf numFmtId="0" fontId="21" fillId="0" borderId="41" xfId="163" applyNumberFormat="1" applyFont="1" applyFill="1" applyBorder="1" applyAlignment="1">
      <alignment vertical="center"/>
    </xf>
    <xf numFmtId="0" fontId="21" fillId="0" borderId="44" xfId="163" applyNumberFormat="1" applyFont="1" applyFill="1" applyBorder="1" applyAlignment="1">
      <alignment vertical="center"/>
    </xf>
    <xf numFmtId="0" fontId="21" fillId="0" borderId="50" xfId="163" applyNumberFormat="1" applyFont="1" applyFill="1" applyBorder="1" applyAlignment="1">
      <alignment vertical="center"/>
    </xf>
    <xf numFmtId="0" fontId="21" fillId="0" borderId="28" xfId="106" applyNumberFormat="1" applyFont="1" applyFill="1" applyBorder="1" applyAlignment="1">
      <alignment vertical="center"/>
    </xf>
    <xf numFmtId="191" fontId="21" fillId="0" borderId="28" xfId="2" applyNumberFormat="1" applyFont="1" applyFill="1" applyBorder="1" applyAlignment="1">
      <alignment horizontal="right" vertical="center"/>
    </xf>
    <xf numFmtId="218" fontId="24" fillId="0" borderId="59" xfId="9" applyNumberFormat="1" applyFont="1" applyFill="1" applyBorder="1" applyAlignment="1">
      <alignment horizontal="right" vertical="center"/>
    </xf>
    <xf numFmtId="218" fontId="24" fillId="0" borderId="19" xfId="9" applyNumberFormat="1" applyFont="1" applyFill="1" applyBorder="1" applyAlignment="1">
      <alignment horizontal="right" vertical="center"/>
    </xf>
    <xf numFmtId="218" fontId="21" fillId="0" borderId="19" xfId="9" applyNumberFormat="1" applyFont="1" applyFill="1" applyBorder="1" applyAlignment="1">
      <alignment horizontal="right" vertical="center"/>
    </xf>
    <xf numFmtId="218" fontId="21" fillId="0" borderId="23" xfId="11" applyNumberFormat="1" applyFont="1" applyFill="1" applyBorder="1" applyAlignment="1">
      <alignment horizontal="right" vertical="center"/>
    </xf>
    <xf numFmtId="218" fontId="31" fillId="0" borderId="23" xfId="13" applyNumberFormat="1" applyFont="1" applyFill="1" applyBorder="1" applyAlignment="1">
      <alignment horizontal="right" vertical="center"/>
    </xf>
    <xf numFmtId="218" fontId="30" fillId="0" borderId="23" xfId="13" applyNumberFormat="1" applyFont="1" applyFill="1" applyBorder="1" applyAlignment="1">
      <alignment horizontal="right" vertical="center"/>
    </xf>
    <xf numFmtId="218" fontId="21" fillId="0" borderId="23" xfId="1" applyNumberFormat="1" applyFont="1" applyFill="1" applyBorder="1" applyAlignment="1">
      <alignment horizontal="right" vertical="center"/>
    </xf>
    <xf numFmtId="218" fontId="21" fillId="0" borderId="36" xfId="1" applyNumberFormat="1" applyFont="1" applyFill="1" applyBorder="1" applyAlignment="1">
      <alignment horizontal="right" vertical="center"/>
    </xf>
    <xf numFmtId="218" fontId="21" fillId="0" borderId="22" xfId="1" applyNumberFormat="1" applyFont="1" applyFill="1" applyBorder="1" applyAlignment="1">
      <alignment horizontal="right" vertical="center"/>
    </xf>
    <xf numFmtId="218" fontId="21" fillId="0" borderId="23" xfId="9" applyNumberFormat="1" applyFont="1" applyFill="1" applyBorder="1" applyAlignment="1">
      <alignment horizontal="right" vertical="center"/>
    </xf>
    <xf numFmtId="218" fontId="21" fillId="0" borderId="16" xfId="9" applyNumberFormat="1" applyFont="1" applyFill="1" applyBorder="1" applyAlignment="1">
      <alignment horizontal="right" vertical="center"/>
    </xf>
    <xf numFmtId="218" fontId="21" fillId="0" borderId="24" xfId="9" applyNumberFormat="1" applyFont="1" applyFill="1" applyBorder="1" applyAlignment="1">
      <alignment horizontal="right" vertical="center"/>
    </xf>
    <xf numFmtId="218" fontId="21" fillId="0" borderId="41" xfId="9" applyNumberFormat="1" applyFont="1" applyFill="1" applyBorder="1" applyAlignment="1">
      <alignment horizontal="right" vertical="center"/>
    </xf>
    <xf numFmtId="218" fontId="21" fillId="0" borderId="23" xfId="106" applyNumberFormat="1" applyFont="1" applyFill="1" applyBorder="1" applyAlignment="1">
      <alignment horizontal="right" vertical="center" wrapText="1"/>
    </xf>
    <xf numFmtId="218" fontId="21" fillId="0" borderId="60" xfId="106" applyNumberFormat="1" applyFont="1" applyFill="1" applyBorder="1" applyAlignment="1">
      <alignment horizontal="right" vertical="center" wrapText="1"/>
    </xf>
    <xf numFmtId="218" fontId="24" fillId="0" borderId="19" xfId="11" applyNumberFormat="1" applyFont="1" applyFill="1" applyBorder="1" applyAlignment="1">
      <alignment horizontal="right" vertical="center"/>
    </xf>
    <xf numFmtId="218" fontId="21" fillId="0" borderId="19" xfId="11" applyNumberFormat="1" applyFont="1" applyFill="1" applyBorder="1" applyAlignment="1">
      <alignment horizontal="right" vertical="center"/>
    </xf>
    <xf numFmtId="218" fontId="24" fillId="0" borderId="23" xfId="11" applyNumberFormat="1" applyFont="1" applyFill="1" applyBorder="1" applyAlignment="1">
      <alignment horizontal="right" vertical="center" wrapText="1"/>
    </xf>
    <xf numFmtId="218" fontId="21" fillId="0" borderId="36" xfId="133" applyNumberFormat="1" applyFont="1" applyFill="1" applyBorder="1" applyAlignment="1">
      <alignment horizontal="right" vertical="center"/>
    </xf>
    <xf numFmtId="218" fontId="40" fillId="0" borderId="23" xfId="133" applyNumberFormat="1" applyFont="1" applyFill="1" applyBorder="1" applyAlignment="1">
      <alignment horizontal="right" vertical="center" wrapText="1"/>
    </xf>
    <xf numFmtId="218" fontId="21" fillId="0" borderId="19" xfId="163" applyNumberFormat="1" applyFont="1" applyFill="1" applyBorder="1" applyAlignment="1">
      <alignment horizontal="right" vertical="center"/>
    </xf>
    <xf numFmtId="218" fontId="24" fillId="0" borderId="19" xfId="1" applyNumberFormat="1" applyFont="1" applyFill="1" applyBorder="1" applyAlignment="1">
      <alignment horizontal="right" vertical="center"/>
    </xf>
    <xf numFmtId="218" fontId="21" fillId="0" borderId="19" xfId="1" applyNumberFormat="1" applyFont="1" applyFill="1" applyBorder="1" applyAlignment="1">
      <alignment horizontal="right" vertical="center"/>
    </xf>
    <xf numFmtId="218" fontId="21" fillId="0" borderId="28" xfId="2" applyNumberFormat="1" applyFont="1" applyFill="1" applyBorder="1" applyAlignment="1">
      <alignment horizontal="right" vertical="center"/>
    </xf>
    <xf numFmtId="218" fontId="21" fillId="0" borderId="23" xfId="1" applyNumberFormat="1" applyFont="1" applyFill="1" applyBorder="1" applyAlignment="1">
      <alignment vertical="center"/>
    </xf>
    <xf numFmtId="218" fontId="21" fillId="0" borderId="26" xfId="9" applyNumberFormat="1" applyFont="1" applyFill="1" applyBorder="1" applyAlignment="1">
      <alignment horizontal="right" vertical="center"/>
    </xf>
    <xf numFmtId="218" fontId="21" fillId="0" borderId="42" xfId="11" applyNumberFormat="1" applyFont="1" applyFill="1" applyBorder="1" applyAlignment="1">
      <alignment horizontal="right" vertical="center" wrapText="1"/>
    </xf>
    <xf numFmtId="218" fontId="21" fillId="0" borderId="42" xfId="9" applyNumberFormat="1" applyFont="1" applyFill="1" applyBorder="1" applyAlignment="1">
      <alignment horizontal="right" vertical="center"/>
    </xf>
    <xf numFmtId="191" fontId="24" fillId="0" borderId="61" xfId="9" applyNumberFormat="1" applyFont="1" applyFill="1" applyBorder="1" applyAlignment="1">
      <alignment horizontal="right" vertical="center"/>
    </xf>
    <xf numFmtId="0" fontId="24" fillId="0" borderId="18" xfId="12" applyNumberFormat="1" applyFont="1" applyFill="1" applyBorder="1" applyAlignment="1">
      <alignment horizontal="left" vertical="center"/>
    </xf>
    <xf numFmtId="0" fontId="24" fillId="0" borderId="40" xfId="12" applyNumberFormat="1" applyFont="1" applyFill="1" applyBorder="1" applyAlignment="1">
      <alignment horizontal="center" vertical="center"/>
    </xf>
    <xf numFmtId="0" fontId="24" fillId="0" borderId="16" xfId="12" applyNumberFormat="1" applyFont="1" applyFill="1" applyBorder="1" applyAlignment="1">
      <alignment horizontal="center" vertical="center"/>
    </xf>
    <xf numFmtId="191" fontId="24" fillId="0" borderId="26" xfId="9" applyNumberFormat="1" applyFont="1" applyFill="1" applyBorder="1" applyAlignment="1">
      <alignment horizontal="right" vertical="center"/>
    </xf>
    <xf numFmtId="177" fontId="21" fillId="0" borderId="32" xfId="288" applyNumberFormat="1" applyFont="1" applyFill="1" applyBorder="1" applyAlignment="1">
      <alignment horizontal="right" vertical="center"/>
    </xf>
    <xf numFmtId="0" fontId="24" fillId="0" borderId="15" xfId="11" applyNumberFormat="1" applyFont="1" applyFill="1" applyBorder="1" applyAlignment="1">
      <alignment vertical="center" wrapText="1"/>
    </xf>
    <xf numFmtId="191" fontId="24" fillId="0" borderId="2" xfId="9" applyNumberFormat="1" applyFont="1" applyFill="1" applyBorder="1" applyAlignment="1">
      <alignment horizontal="right" vertical="center"/>
    </xf>
    <xf numFmtId="0" fontId="24" fillId="0" borderId="2" xfId="11" applyNumberFormat="1" applyFont="1" applyFill="1" applyBorder="1" applyAlignment="1">
      <alignment vertical="center"/>
    </xf>
    <xf numFmtId="177" fontId="24" fillId="0" borderId="2" xfId="11" applyNumberFormat="1" applyFont="1" applyFill="1" applyBorder="1" applyAlignment="1">
      <alignment horizontal="right" vertical="center"/>
    </xf>
    <xf numFmtId="177" fontId="24" fillId="0" borderId="2" xfId="11" applyNumberFormat="1" applyFont="1" applyFill="1" applyBorder="1" applyAlignment="1">
      <alignment horizontal="center" vertical="center"/>
    </xf>
    <xf numFmtId="9" fontId="24" fillId="0" borderId="2" xfId="11" applyNumberFormat="1" applyFont="1" applyFill="1" applyBorder="1" applyAlignment="1">
      <alignment horizontal="right" vertical="center"/>
    </xf>
    <xf numFmtId="189" fontId="24" fillId="0" borderId="2" xfId="11" applyNumberFormat="1" applyFont="1" applyFill="1" applyBorder="1" applyAlignment="1">
      <alignment horizontal="right" vertical="center"/>
    </xf>
    <xf numFmtId="0" fontId="12" fillId="0" borderId="0" xfId="272" applyNumberFormat="1" applyFont="1" applyFill="1">
      <alignment vertical="center"/>
    </xf>
    <xf numFmtId="176" fontId="21" fillId="0" borderId="19" xfId="272" applyNumberFormat="1" applyFont="1" applyFill="1" applyBorder="1">
      <alignment vertical="center"/>
    </xf>
    <xf numFmtId="191" fontId="24" fillId="0" borderId="16" xfId="11" applyNumberFormat="1" applyFont="1" applyFill="1" applyBorder="1" applyAlignment="1">
      <alignment horizontal="right" vertical="center"/>
    </xf>
    <xf numFmtId="191" fontId="24" fillId="0" borderId="37" xfId="11" applyNumberFormat="1" applyFont="1" applyFill="1" applyBorder="1" applyAlignment="1">
      <alignment horizontal="right" vertical="center"/>
    </xf>
    <xf numFmtId="9" fontId="21" fillId="0" borderId="37" xfId="11" applyNumberFormat="1" applyFont="1" applyFill="1" applyBorder="1" applyAlignment="1">
      <alignment horizontal="center" vertical="center"/>
    </xf>
    <xf numFmtId="0" fontId="53" fillId="0" borderId="2" xfId="272" applyNumberFormat="1" applyFill="1" applyBorder="1">
      <alignment vertical="center"/>
    </xf>
    <xf numFmtId="178" fontId="0" fillId="0" borderId="32" xfId="272" applyNumberFormat="1" applyFont="1" applyFill="1" applyBorder="1">
      <alignment vertical="center"/>
    </xf>
    <xf numFmtId="176" fontId="21" fillId="0" borderId="29" xfId="272" applyNumberFormat="1" applyFont="1" applyFill="1" applyBorder="1">
      <alignment vertical="center"/>
    </xf>
    <xf numFmtId="191" fontId="21" fillId="0" borderId="45" xfId="11" applyNumberFormat="1" applyFont="1" applyFill="1" applyBorder="1" applyAlignment="1">
      <alignment horizontal="right" vertical="center"/>
    </xf>
    <xf numFmtId="218" fontId="24" fillId="0" borderId="23" xfId="13" applyNumberFormat="1" applyFont="1" applyFill="1" applyBorder="1" applyAlignment="1">
      <alignment horizontal="right" vertical="center"/>
    </xf>
    <xf numFmtId="218" fontId="21" fillId="0" borderId="23" xfId="13" applyNumberFormat="1" applyFont="1" applyFill="1" applyBorder="1" applyAlignment="1">
      <alignment horizontal="right" vertical="center"/>
    </xf>
    <xf numFmtId="218" fontId="21" fillId="0" borderId="23" xfId="11" applyNumberFormat="1" applyFont="1" applyFill="1" applyBorder="1" applyAlignment="1">
      <alignment horizontal="right" vertical="center" wrapText="1"/>
    </xf>
    <xf numFmtId="218" fontId="21" fillId="0" borderId="41" xfId="11" applyNumberFormat="1" applyFont="1" applyFill="1" applyBorder="1" applyAlignment="1">
      <alignment horizontal="right" vertical="center" wrapText="1"/>
    </xf>
    <xf numFmtId="218" fontId="21" fillId="0" borderId="25" xfId="11" applyNumberFormat="1" applyFont="1" applyFill="1" applyBorder="1" applyAlignment="1">
      <alignment horizontal="right" vertical="center" wrapText="1"/>
    </xf>
    <xf numFmtId="218" fontId="21" fillId="0" borderId="22" xfId="9" applyNumberFormat="1" applyFont="1" applyFill="1" applyBorder="1" applyAlignment="1">
      <alignment horizontal="right" vertical="center"/>
    </xf>
    <xf numFmtId="218" fontId="24" fillId="0" borderId="16" xfId="11" applyNumberFormat="1" applyFont="1" applyFill="1" applyBorder="1" applyAlignment="1">
      <alignment horizontal="right" vertical="center"/>
    </xf>
    <xf numFmtId="218" fontId="21" fillId="0" borderId="29" xfId="11" applyNumberFormat="1" applyFont="1" applyFill="1" applyBorder="1" applyAlignment="1">
      <alignment horizontal="right" vertical="center"/>
    </xf>
    <xf numFmtId="0" fontId="24" fillId="0" borderId="37" xfId="12" applyNumberFormat="1" applyFont="1" applyFill="1" applyBorder="1">
      <alignment vertical="center"/>
    </xf>
    <xf numFmtId="177" fontId="24" fillId="0" borderId="37" xfId="12" applyNumberFormat="1" applyFont="1" applyFill="1" applyBorder="1">
      <alignment vertical="center"/>
    </xf>
    <xf numFmtId="177" fontId="24" fillId="0" borderId="37" xfId="12" applyNumberFormat="1" applyFont="1" applyFill="1" applyBorder="1" applyAlignment="1">
      <alignment horizontal="center" vertical="center"/>
    </xf>
    <xf numFmtId="9" fontId="24" fillId="0" borderId="37" xfId="12" applyNumberFormat="1" applyFont="1" applyFill="1" applyBorder="1" applyAlignment="1">
      <alignment horizontal="right" vertical="center"/>
    </xf>
    <xf numFmtId="189" fontId="24" fillId="0" borderId="37" xfId="12" applyNumberFormat="1" applyFont="1" applyFill="1" applyBorder="1">
      <alignment vertical="center"/>
    </xf>
    <xf numFmtId="189" fontId="24" fillId="0" borderId="37" xfId="12" applyNumberFormat="1" applyFont="1" applyFill="1" applyBorder="1" applyAlignment="1">
      <alignment horizontal="right" vertical="center"/>
    </xf>
    <xf numFmtId="192" fontId="24" fillId="0" borderId="39" xfId="12" applyNumberFormat="1" applyFont="1" applyFill="1" applyBorder="1">
      <alignment vertical="center"/>
    </xf>
    <xf numFmtId="178" fontId="53" fillId="0" borderId="0" xfId="272" applyNumberFormat="1" applyFill="1">
      <alignment vertical="center"/>
    </xf>
    <xf numFmtId="191" fontId="21" fillId="0" borderId="47" xfId="11" applyNumberFormat="1" applyFont="1" applyFill="1" applyBorder="1" applyAlignment="1">
      <alignment horizontal="right" vertical="center"/>
    </xf>
    <xf numFmtId="176" fontId="21" fillId="0" borderId="22" xfId="272" applyNumberFormat="1" applyFont="1" applyFill="1" applyBorder="1">
      <alignment vertical="center"/>
    </xf>
    <xf numFmtId="218" fontId="24" fillId="0" borderId="26" xfId="9" applyNumberFormat="1" applyFont="1" applyFill="1" applyBorder="1" applyAlignment="1">
      <alignment horizontal="right" vertical="center"/>
    </xf>
    <xf numFmtId="218" fontId="21" fillId="0" borderId="36" xfId="11" applyNumberFormat="1" applyFont="1" applyFill="1" applyBorder="1" applyAlignment="1">
      <alignment horizontal="right" vertical="center"/>
    </xf>
    <xf numFmtId="218" fontId="31" fillId="0" borderId="36" xfId="13" applyNumberFormat="1" applyFont="1" applyFill="1" applyBorder="1" applyAlignment="1">
      <alignment horizontal="right" vertical="center"/>
    </xf>
    <xf numFmtId="218" fontId="30" fillId="0" borderId="36" xfId="13" applyNumberFormat="1" applyFont="1" applyFill="1" applyBorder="1" applyAlignment="1">
      <alignment horizontal="right" vertical="center"/>
    </xf>
    <xf numFmtId="218" fontId="21" fillId="0" borderId="36" xfId="9" applyNumberFormat="1" applyFont="1" applyFill="1" applyBorder="1" applyAlignment="1">
      <alignment horizontal="right" vertical="center"/>
    </xf>
    <xf numFmtId="218" fontId="21" fillId="0" borderId="36" xfId="11" applyNumberFormat="1" applyFont="1" applyFill="1" applyBorder="1" applyAlignment="1">
      <alignment horizontal="right" vertical="center" wrapText="1"/>
    </xf>
    <xf numFmtId="218" fontId="21" fillId="0" borderId="26" xfId="11" applyNumberFormat="1" applyFont="1" applyFill="1" applyBorder="1" applyAlignment="1">
      <alignment horizontal="right" vertical="center"/>
    </xf>
    <xf numFmtId="218" fontId="21" fillId="0" borderId="0" xfId="9" applyNumberFormat="1" applyFont="1" applyFill="1" applyBorder="1" applyAlignment="1">
      <alignment horizontal="right" vertical="center"/>
    </xf>
    <xf numFmtId="218" fontId="24" fillId="0" borderId="0" xfId="11" applyNumberFormat="1" applyFont="1" applyFill="1" applyBorder="1" applyAlignment="1">
      <alignment horizontal="right" vertical="center" wrapText="1"/>
    </xf>
    <xf numFmtId="218" fontId="21" fillId="0" borderId="62" xfId="9" applyNumberFormat="1" applyFont="1" applyFill="1" applyBorder="1" applyAlignment="1">
      <alignment horizontal="right" vertical="center"/>
    </xf>
    <xf numFmtId="218" fontId="24" fillId="0" borderId="26" xfId="11" applyNumberFormat="1" applyFont="1" applyFill="1" applyBorder="1" applyAlignment="1">
      <alignment horizontal="right" vertical="center"/>
    </xf>
    <xf numFmtId="218" fontId="21" fillId="0" borderId="42" xfId="11" applyNumberFormat="1" applyFont="1" applyFill="1" applyBorder="1" applyAlignment="1">
      <alignment horizontal="right" vertical="center"/>
    </xf>
    <xf numFmtId="218" fontId="21" fillId="0" borderId="63" xfId="11" applyNumberFormat="1" applyFont="1" applyFill="1" applyBorder="1" applyAlignment="1">
      <alignment horizontal="right" vertical="center"/>
    </xf>
    <xf numFmtId="0" fontId="24" fillId="0" borderId="38" xfId="20" applyNumberFormat="1" applyFont="1" applyFill="1" applyBorder="1" applyAlignment="1">
      <alignment horizontal="center" vertical="center" shrinkToFit="1"/>
    </xf>
    <xf numFmtId="0" fontId="24" fillId="0" borderId="29" xfId="20" applyNumberFormat="1" applyFont="1" applyFill="1" applyBorder="1" applyAlignment="1">
      <alignment horizontal="center" vertical="center" shrinkToFit="1"/>
    </xf>
    <xf numFmtId="41" fontId="24" fillId="0" borderId="23" xfId="20" applyNumberFormat="1" applyFont="1" applyFill="1" applyBorder="1" applyAlignment="1">
      <alignment horizontal="center" vertical="center"/>
    </xf>
    <xf numFmtId="177" fontId="41" fillId="0" borderId="0" xfId="20" applyNumberFormat="1" applyFont="1" applyFill="1" applyBorder="1" applyAlignment="1">
      <alignment vertical="center"/>
    </xf>
    <xf numFmtId="177" fontId="24" fillId="0" borderId="0" xfId="20" applyNumberFormat="1" applyFont="1" applyFill="1" applyBorder="1" applyAlignment="1">
      <alignment horizontal="center" vertical="center"/>
    </xf>
    <xf numFmtId="9" fontId="24" fillId="0" borderId="0" xfId="20" applyNumberFormat="1" applyFont="1" applyFill="1" applyBorder="1" applyAlignment="1">
      <alignment vertical="center"/>
    </xf>
    <xf numFmtId="189" fontId="24" fillId="0" borderId="0" xfId="20" applyNumberFormat="1" applyFont="1" applyFill="1" applyBorder="1" applyAlignment="1">
      <alignment vertical="center"/>
    </xf>
    <xf numFmtId="189" fontId="24" fillId="0" borderId="0" xfId="20" applyNumberFormat="1" applyFont="1" applyFill="1" applyBorder="1"/>
    <xf numFmtId="205" fontId="24" fillId="0" borderId="33" xfId="20" applyNumberFormat="1" applyFont="1" applyFill="1" applyBorder="1" applyAlignment="1">
      <alignment vertical="center"/>
    </xf>
    <xf numFmtId="176" fontId="12" fillId="0" borderId="0" xfId="272" applyNumberFormat="1" applyFont="1" applyFill="1">
      <alignment vertical="center"/>
    </xf>
    <xf numFmtId="0" fontId="24" fillId="0" borderId="15" xfId="20" applyNumberFormat="1" applyFont="1" applyFill="1" applyBorder="1"/>
    <xf numFmtId="41" fontId="24" fillId="0" borderId="26" xfId="20" applyNumberFormat="1" applyFont="1" applyFill="1" applyBorder="1" applyAlignment="1">
      <alignment horizontal="center" vertical="center"/>
    </xf>
    <xf numFmtId="0" fontId="24" fillId="0" borderId="2" xfId="20" applyNumberFormat="1" applyFont="1" applyFill="1" applyBorder="1"/>
    <xf numFmtId="177" fontId="24" fillId="0" borderId="2" xfId="20" applyNumberFormat="1" applyFont="1" applyFill="1" applyBorder="1" applyAlignment="1">
      <alignment vertical="center"/>
    </xf>
    <xf numFmtId="177" fontId="24" fillId="0" borderId="2" xfId="20" applyNumberFormat="1" applyFont="1" applyFill="1" applyBorder="1" applyAlignment="1">
      <alignment horizontal="right" vertical="center"/>
    </xf>
    <xf numFmtId="9" fontId="24" fillId="0" borderId="2" xfId="20" applyNumberFormat="1" applyFont="1" applyFill="1" applyBorder="1" applyAlignment="1">
      <alignment vertical="center"/>
    </xf>
    <xf numFmtId="189" fontId="24" fillId="0" borderId="2" xfId="20" applyNumberFormat="1" applyFont="1" applyFill="1" applyBorder="1" applyAlignment="1">
      <alignment vertical="center"/>
    </xf>
    <xf numFmtId="189" fontId="24" fillId="0" borderId="2" xfId="20" applyNumberFormat="1" applyFont="1" applyFill="1" applyBorder="1" applyAlignment="1">
      <alignment horizontal="right" vertical="center"/>
    </xf>
    <xf numFmtId="205" fontId="24" fillId="0" borderId="32" xfId="20" applyNumberFormat="1" applyFont="1" applyFill="1" applyBorder="1" applyAlignment="1">
      <alignment vertical="center"/>
    </xf>
    <xf numFmtId="0" fontId="25" fillId="0" borderId="17" xfId="20" applyNumberFormat="1" applyFont="1" applyFill="1" applyBorder="1" applyAlignment="1">
      <alignment vertical="center" wrapText="1"/>
    </xf>
    <xf numFmtId="0" fontId="21" fillId="0" borderId="19" xfId="20" applyNumberFormat="1" applyFont="1" applyFill="1" applyBorder="1" applyAlignment="1">
      <alignment horizontal="center" vertical="center" wrapText="1"/>
    </xf>
    <xf numFmtId="9" fontId="21" fillId="0" borderId="2" xfId="20" applyNumberFormat="1" applyFont="1" applyFill="1" applyBorder="1" applyAlignment="1">
      <alignment vertical="center"/>
    </xf>
    <xf numFmtId="189" fontId="21" fillId="0" borderId="2" xfId="20" applyNumberFormat="1" applyFont="1" applyFill="1" applyBorder="1" applyAlignment="1">
      <alignment horizontal="right" vertical="center"/>
    </xf>
    <xf numFmtId="205" fontId="21" fillId="0" borderId="32" xfId="20" applyNumberFormat="1" applyFont="1" applyFill="1" applyBorder="1" applyAlignment="1">
      <alignment vertical="center"/>
    </xf>
    <xf numFmtId="0" fontId="25" fillId="0" borderId="24" xfId="20" applyNumberFormat="1" applyFont="1" applyFill="1" applyBorder="1" applyAlignment="1">
      <alignment vertical="center" wrapText="1"/>
    </xf>
    <xf numFmtId="0" fontId="25" fillId="0" borderId="19" xfId="20" applyNumberFormat="1" applyFont="1" applyFill="1" applyBorder="1" applyAlignment="1">
      <alignment vertical="center" wrapText="1"/>
    </xf>
    <xf numFmtId="191" fontId="21" fillId="0" borderId="19" xfId="20" applyNumberFormat="1" applyFont="1" applyFill="1" applyBorder="1" applyAlignment="1">
      <alignment horizontal="right" vertical="center"/>
    </xf>
    <xf numFmtId="205" fontId="21" fillId="0" borderId="33" xfId="20" applyNumberFormat="1" applyFont="1" applyFill="1" applyBorder="1" applyAlignment="1">
      <alignment vertical="center"/>
    </xf>
    <xf numFmtId="0" fontId="25" fillId="0" borderId="41" xfId="20" applyNumberFormat="1" applyFont="1" applyFill="1" applyBorder="1" applyAlignment="1">
      <alignment vertical="center" wrapText="1"/>
    </xf>
    <xf numFmtId="191" fontId="21" fillId="0" borderId="22" xfId="20" applyNumberFormat="1" applyFont="1" applyFill="1" applyBorder="1" applyAlignment="1">
      <alignment horizontal="right" vertical="center"/>
    </xf>
    <xf numFmtId="41" fontId="25" fillId="0" borderId="22" xfId="20" applyNumberFormat="1" applyFont="1" applyFill="1" applyBorder="1" applyAlignment="1">
      <alignment vertical="center" wrapText="1"/>
    </xf>
    <xf numFmtId="0" fontId="21" fillId="0" borderId="23" xfId="20" applyNumberFormat="1" applyFont="1" applyFill="1" applyBorder="1" applyAlignment="1">
      <alignment vertical="center" wrapText="1"/>
    </xf>
    <xf numFmtId="0" fontId="21" fillId="0" borderId="41" xfId="20" applyNumberFormat="1" applyFont="1" applyFill="1" applyBorder="1" applyAlignment="1">
      <alignment vertical="center" wrapText="1"/>
    </xf>
    <xf numFmtId="41" fontId="21" fillId="0" borderId="42" xfId="20" applyNumberFormat="1" applyFont="1" applyFill="1" applyBorder="1" applyAlignment="1">
      <alignment vertical="center" wrapText="1"/>
    </xf>
    <xf numFmtId="206" fontId="24" fillId="0" borderId="32" xfId="20" applyNumberFormat="1" applyFont="1" applyFill="1" applyBorder="1" applyAlignment="1">
      <alignment vertical="center"/>
    </xf>
    <xf numFmtId="206" fontId="24" fillId="0" borderId="33" xfId="289" applyNumberFormat="1" applyFont="1" applyFill="1" applyBorder="1" applyAlignment="1">
      <alignment horizontal="right" vertical="center" shrinkToFit="1"/>
    </xf>
    <xf numFmtId="0" fontId="24" fillId="0" borderId="15" xfId="20" applyNumberFormat="1" applyFont="1" applyFill="1" applyBorder="1" applyAlignment="1">
      <alignment vertical="center"/>
    </xf>
    <xf numFmtId="0" fontId="24" fillId="0" borderId="2" xfId="20" quotePrefix="1" applyNumberFormat="1" applyFont="1" applyFill="1" applyBorder="1"/>
    <xf numFmtId="179" fontId="24" fillId="0" borderId="2" xfId="20" applyNumberFormat="1" applyFont="1" applyFill="1" applyBorder="1" applyAlignment="1">
      <alignment vertical="center"/>
    </xf>
    <xf numFmtId="186" fontId="24" fillId="0" borderId="2" xfId="20" applyNumberFormat="1" applyFont="1" applyFill="1" applyBorder="1" applyAlignment="1">
      <alignment vertical="center"/>
    </xf>
    <xf numFmtId="207" fontId="24" fillId="0" borderId="2" xfId="20" applyNumberFormat="1" applyFont="1" applyFill="1" applyBorder="1" applyAlignment="1">
      <alignment horizontal="right" vertical="center"/>
    </xf>
    <xf numFmtId="0" fontId="21" fillId="0" borderId="21" xfId="20" applyNumberFormat="1" applyFont="1" applyFill="1" applyBorder="1" applyAlignment="1">
      <alignment vertical="center"/>
    </xf>
    <xf numFmtId="0" fontId="29" fillId="0" borderId="24" xfId="20" applyNumberFormat="1" applyFont="1" applyFill="1" applyBorder="1" applyAlignment="1">
      <alignment vertical="center" wrapText="1"/>
    </xf>
    <xf numFmtId="0" fontId="21" fillId="0" borderId="19" xfId="20" applyNumberFormat="1" applyFont="1" applyFill="1" applyBorder="1" applyAlignment="1">
      <alignment horizontal="center" vertical="center"/>
    </xf>
    <xf numFmtId="0" fontId="21" fillId="0" borderId="2" xfId="20" quotePrefix="1" applyNumberFormat="1" applyFont="1" applyFill="1" applyBorder="1"/>
    <xf numFmtId="207" fontId="21" fillId="0" borderId="2" xfId="20" applyNumberFormat="1" applyFont="1" applyFill="1" applyBorder="1" applyAlignment="1">
      <alignment horizontal="right" vertical="center"/>
    </xf>
    <xf numFmtId="206" fontId="21" fillId="0" borderId="32" xfId="20" applyNumberFormat="1" applyFont="1" applyFill="1" applyBorder="1" applyAlignment="1">
      <alignment vertical="center"/>
    </xf>
    <xf numFmtId="0" fontId="21" fillId="0" borderId="22" xfId="20" applyNumberFormat="1" applyFont="1" applyFill="1" applyBorder="1" applyAlignment="1">
      <alignment vertical="center"/>
    </xf>
    <xf numFmtId="0" fontId="21" fillId="0" borderId="27" xfId="20" applyNumberFormat="1" applyFont="1" applyFill="1" applyBorder="1" applyAlignment="1">
      <alignment vertical="center"/>
    </xf>
    <xf numFmtId="0" fontId="21" fillId="0" borderId="28" xfId="20" applyNumberFormat="1" applyFont="1" applyFill="1" applyBorder="1" applyAlignment="1">
      <alignment vertical="center"/>
    </xf>
    <xf numFmtId="13" fontId="53" fillId="0" borderId="0" xfId="272" applyNumberFormat="1" applyFill="1">
      <alignment vertical="center"/>
    </xf>
    <xf numFmtId="0" fontId="0" fillId="0" borderId="0" xfId="272" applyNumberFormat="1" applyFont="1" applyFill="1" applyBorder="1">
      <alignment vertical="center"/>
    </xf>
    <xf numFmtId="41" fontId="0" fillId="0" borderId="0" xfId="272" applyNumberFormat="1" applyFont="1" applyFill="1" applyBorder="1">
      <alignment vertical="center"/>
    </xf>
    <xf numFmtId="0" fontId="21" fillId="0" borderId="41" xfId="260" applyNumberFormat="1" applyFont="1" applyFill="1" applyBorder="1" applyAlignment="1">
      <alignment vertical="center"/>
    </xf>
    <xf numFmtId="0" fontId="5" fillId="0" borderId="0" xfId="272" applyNumberFormat="1" applyFont="1" applyFill="1">
      <alignment vertical="center"/>
    </xf>
    <xf numFmtId="0" fontId="24" fillId="0" borderId="38" xfId="260" applyNumberFormat="1" applyFont="1" applyFill="1" applyBorder="1" applyAlignment="1">
      <alignment horizontal="center" vertical="center" shrinkToFit="1"/>
    </xf>
    <xf numFmtId="0" fontId="24" fillId="0" borderId="29" xfId="260" applyNumberFormat="1" applyFont="1" applyFill="1" applyBorder="1" applyAlignment="1">
      <alignment horizontal="center" vertical="center" shrinkToFit="1"/>
    </xf>
    <xf numFmtId="191" fontId="24" fillId="0" borderId="13" xfId="9" applyNumberFormat="1" applyFont="1" applyFill="1" applyBorder="1" applyAlignment="1">
      <alignment horizontal="right" vertical="center"/>
    </xf>
    <xf numFmtId="0" fontId="21" fillId="0" borderId="25" xfId="260" applyNumberFormat="1" applyFont="1" applyFill="1" applyBorder="1">
      <alignment vertical="center"/>
    </xf>
    <xf numFmtId="177" fontId="21" fillId="0" borderId="37" xfId="260" applyNumberFormat="1" applyFont="1" applyFill="1" applyBorder="1">
      <alignment vertical="center"/>
    </xf>
    <xf numFmtId="177" fontId="21" fillId="0" borderId="37" xfId="260" applyNumberFormat="1" applyFont="1" applyFill="1" applyBorder="1" applyAlignment="1">
      <alignment horizontal="center" vertical="center"/>
    </xf>
    <xf numFmtId="9" fontId="21" fillId="0" borderId="37" xfId="260" applyNumberFormat="1" applyFont="1" applyFill="1" applyBorder="1">
      <alignment vertical="center"/>
    </xf>
    <xf numFmtId="189" fontId="21" fillId="0" borderId="37" xfId="260" applyNumberFormat="1" applyFont="1" applyFill="1" applyBorder="1">
      <alignment vertical="center"/>
    </xf>
    <xf numFmtId="208" fontId="21" fillId="0" borderId="39" xfId="260" applyNumberFormat="1" applyFont="1" applyFill="1" applyBorder="1" applyAlignment="1">
      <alignment horizontal="right" vertical="center"/>
    </xf>
    <xf numFmtId="0" fontId="24" fillId="0" borderId="17" xfId="106" quotePrefix="1" applyNumberFormat="1" applyFont="1" applyFill="1" applyBorder="1" applyAlignment="1">
      <alignment horizontal="left" vertical="center"/>
    </xf>
    <xf numFmtId="0" fontId="24" fillId="0" borderId="2" xfId="106" quotePrefix="1" applyNumberFormat="1" applyFont="1" applyFill="1" applyBorder="1" applyAlignment="1">
      <alignment horizontal="right" vertical="center"/>
    </xf>
    <xf numFmtId="0" fontId="24" fillId="0" borderId="2" xfId="106" quotePrefix="1" applyNumberFormat="1" applyFont="1" applyFill="1" applyBorder="1" applyAlignment="1">
      <alignment horizontal="center" vertical="center"/>
    </xf>
    <xf numFmtId="177" fontId="24" fillId="0" borderId="2" xfId="106" applyNumberFormat="1" applyFont="1" applyFill="1" applyBorder="1" applyAlignment="1">
      <alignment horizontal="right" vertical="center"/>
    </xf>
    <xf numFmtId="177" fontId="24" fillId="0" borderId="2" xfId="106" applyNumberFormat="1" applyFont="1" applyFill="1" applyBorder="1" applyAlignment="1">
      <alignment horizontal="center" vertical="center"/>
    </xf>
    <xf numFmtId="177" fontId="24" fillId="0" borderId="32" xfId="106" applyNumberFormat="1" applyFont="1" applyFill="1" applyBorder="1" applyAlignment="1">
      <alignment horizontal="right" vertical="center"/>
    </xf>
    <xf numFmtId="0" fontId="42" fillId="0" borderId="0" xfId="272" applyNumberFormat="1" applyFont="1" applyFill="1">
      <alignment vertical="center"/>
    </xf>
    <xf numFmtId="191" fontId="21" fillId="0" borderId="2" xfId="106" applyNumberFormat="1" applyFont="1" applyFill="1" applyBorder="1" applyAlignment="1">
      <alignment horizontal="right" vertical="center"/>
    </xf>
    <xf numFmtId="177" fontId="21" fillId="0" borderId="32" xfId="106" applyNumberFormat="1" applyFont="1" applyFill="1" applyBorder="1" applyAlignment="1">
      <alignment horizontal="right" vertical="center"/>
    </xf>
    <xf numFmtId="0" fontId="24" fillId="0" borderId="15" xfId="260" applyNumberFormat="1" applyFont="1" applyFill="1" applyBorder="1">
      <alignment vertical="center"/>
    </xf>
    <xf numFmtId="191" fontId="24" fillId="0" borderId="19" xfId="260" applyNumberFormat="1" applyFont="1" applyFill="1" applyBorder="1" applyAlignment="1">
      <alignment horizontal="right" vertical="center"/>
    </xf>
    <xf numFmtId="0" fontId="24" fillId="0" borderId="17" xfId="260" applyNumberFormat="1" applyFont="1" applyFill="1" applyBorder="1">
      <alignment vertical="center"/>
    </xf>
    <xf numFmtId="177" fontId="24" fillId="0" borderId="2" xfId="260" applyNumberFormat="1" applyFont="1" applyFill="1" applyBorder="1">
      <alignment vertical="center"/>
    </xf>
    <xf numFmtId="177" fontId="24" fillId="0" borderId="2" xfId="260" applyNumberFormat="1" applyFont="1" applyFill="1" applyBorder="1" applyAlignment="1">
      <alignment horizontal="center" vertical="center"/>
    </xf>
    <xf numFmtId="9" fontId="24" fillId="0" borderId="2" xfId="260" applyNumberFormat="1" applyFont="1" applyFill="1" applyBorder="1">
      <alignment vertical="center"/>
    </xf>
    <xf numFmtId="189" fontId="24" fillId="0" borderId="2" xfId="260" applyNumberFormat="1" applyFont="1" applyFill="1" applyBorder="1">
      <alignment vertical="center"/>
    </xf>
    <xf numFmtId="189" fontId="24" fillId="0" borderId="2" xfId="260" applyNumberFormat="1" applyFont="1" applyFill="1" applyBorder="1" applyAlignment="1">
      <alignment horizontal="center" vertical="center"/>
    </xf>
    <xf numFmtId="0" fontId="21" fillId="0" borderId="17" xfId="260" applyNumberFormat="1" applyFont="1" applyFill="1" applyBorder="1">
      <alignment vertical="center"/>
    </xf>
    <xf numFmtId="177" fontId="21" fillId="0" borderId="2" xfId="260" applyNumberFormat="1" applyFont="1" applyFill="1" applyBorder="1">
      <alignment vertical="center"/>
    </xf>
    <xf numFmtId="177" fontId="21" fillId="0" borderId="2" xfId="260" applyNumberFormat="1" applyFont="1" applyFill="1" applyBorder="1" applyAlignment="1">
      <alignment horizontal="center" vertical="center"/>
    </xf>
    <xf numFmtId="9" fontId="21" fillId="0" borderId="2" xfId="260" applyNumberFormat="1" applyFont="1" applyFill="1" applyBorder="1">
      <alignment vertical="center"/>
    </xf>
    <xf numFmtId="189" fontId="21" fillId="0" borderId="2" xfId="260" applyNumberFormat="1" applyFont="1" applyFill="1" applyBorder="1">
      <alignment vertical="center"/>
    </xf>
    <xf numFmtId="189" fontId="21" fillId="0" borderId="2" xfId="260" applyNumberFormat="1" applyFont="1" applyFill="1" applyBorder="1" applyAlignment="1">
      <alignment horizontal="center" vertical="center"/>
    </xf>
    <xf numFmtId="178" fontId="5" fillId="0" borderId="0" xfId="272" applyNumberFormat="1" applyFont="1" applyFill="1">
      <alignment vertical="center"/>
    </xf>
    <xf numFmtId="186" fontId="21" fillId="0" borderId="37" xfId="260" applyNumberFormat="1" applyFont="1" applyFill="1" applyBorder="1">
      <alignment vertical="center"/>
    </xf>
    <xf numFmtId="189" fontId="21" fillId="0" borderId="37" xfId="260" applyNumberFormat="1" applyFont="1" applyFill="1" applyBorder="1" applyAlignment="1">
      <alignment horizontal="center" vertical="center"/>
    </xf>
    <xf numFmtId="0" fontId="5" fillId="0" borderId="0" xfId="272" applyNumberFormat="1" applyFont="1" applyFill="1" applyBorder="1">
      <alignment vertical="center"/>
    </xf>
    <xf numFmtId="41" fontId="53" fillId="0" borderId="0" xfId="288" applyNumberFormat="1" applyFill="1" applyBorder="1">
      <alignment vertical="center"/>
    </xf>
    <xf numFmtId="41" fontId="43" fillId="0" borderId="0" xfId="288" applyNumberFormat="1" applyFont="1" applyFill="1" applyBorder="1">
      <alignment vertical="center"/>
    </xf>
    <xf numFmtId="186" fontId="21" fillId="0" borderId="2" xfId="260" applyNumberFormat="1" applyFont="1" applyFill="1" applyBorder="1">
      <alignment vertical="center"/>
    </xf>
    <xf numFmtId="186" fontId="21" fillId="0" borderId="0" xfId="260" applyNumberFormat="1" applyFont="1" applyFill="1" applyBorder="1">
      <alignment vertical="center"/>
    </xf>
    <xf numFmtId="0" fontId="24" fillId="0" borderId="20" xfId="260" applyNumberFormat="1" applyFont="1" applyFill="1" applyBorder="1">
      <alignment vertical="center"/>
    </xf>
    <xf numFmtId="191" fontId="24" fillId="0" borderId="22" xfId="260" applyNumberFormat="1" applyFont="1" applyFill="1" applyBorder="1" applyAlignment="1">
      <alignment horizontal="right" vertical="center"/>
    </xf>
    <xf numFmtId="0" fontId="24" fillId="0" borderId="24" xfId="260" applyNumberFormat="1" applyFont="1" applyFill="1" applyBorder="1">
      <alignment vertical="center"/>
    </xf>
    <xf numFmtId="177" fontId="24" fillId="0" borderId="31" xfId="260" applyNumberFormat="1" applyFont="1" applyFill="1" applyBorder="1">
      <alignment vertical="center"/>
    </xf>
    <xf numFmtId="177" fontId="24" fillId="0" borderId="31" xfId="260" applyNumberFormat="1" applyFont="1" applyFill="1" applyBorder="1" applyAlignment="1">
      <alignment horizontal="center" vertical="center"/>
    </xf>
    <xf numFmtId="186" fontId="24" fillId="0" borderId="31" xfId="260" applyNumberFormat="1" applyFont="1" applyFill="1" applyBorder="1">
      <alignment vertical="center"/>
    </xf>
    <xf numFmtId="186" fontId="24" fillId="0" borderId="31" xfId="260" applyNumberFormat="1" applyFont="1" applyFill="1" applyBorder="1" applyAlignment="1">
      <alignment horizontal="center" vertical="center"/>
    </xf>
    <xf numFmtId="0" fontId="42" fillId="0" borderId="0" xfId="272" applyNumberFormat="1" applyFont="1" applyFill="1" applyBorder="1">
      <alignment vertical="center"/>
    </xf>
    <xf numFmtId="0" fontId="12" fillId="0" borderId="0" xfId="272" applyNumberFormat="1" applyFont="1" applyFill="1" applyBorder="1">
      <alignment vertical="center"/>
    </xf>
    <xf numFmtId="186" fontId="21" fillId="0" borderId="2" xfId="260" applyNumberFormat="1" applyFont="1" applyFill="1" applyBorder="1" applyAlignment="1">
      <alignment horizontal="center" vertical="center"/>
    </xf>
    <xf numFmtId="177" fontId="21" fillId="0" borderId="2" xfId="260" applyNumberFormat="1" applyFont="1" applyFill="1" applyBorder="1" applyAlignment="1">
      <alignment horizontal="right" vertical="center"/>
    </xf>
    <xf numFmtId="177" fontId="21" fillId="0" borderId="2" xfId="260" applyNumberFormat="1" applyFont="1" applyFill="1" applyBorder="1" applyAlignment="1">
      <alignment vertical="center"/>
    </xf>
    <xf numFmtId="41" fontId="5" fillId="0" borderId="0" xfId="288" applyNumberFormat="1" applyFont="1" applyFill="1">
      <alignment vertical="center"/>
    </xf>
    <xf numFmtId="0" fontId="26" fillId="0" borderId="15" xfId="260" applyNumberFormat="1" applyFont="1" applyFill="1" applyBorder="1" applyAlignment="1">
      <alignment vertical="center"/>
    </xf>
    <xf numFmtId="0" fontId="21" fillId="0" borderId="17" xfId="260" quotePrefix="1" applyNumberFormat="1" applyFont="1" applyFill="1" applyBorder="1">
      <alignment vertical="center"/>
    </xf>
    <xf numFmtId="179" fontId="21" fillId="0" borderId="2" xfId="260" applyNumberFormat="1" applyFont="1" applyFill="1" applyBorder="1" applyAlignment="1">
      <alignment vertical="center"/>
    </xf>
    <xf numFmtId="186" fontId="21" fillId="0" borderId="2" xfId="260" applyNumberFormat="1" applyFont="1" applyFill="1" applyBorder="1" applyAlignment="1">
      <alignment vertical="center"/>
    </xf>
    <xf numFmtId="207" fontId="21" fillId="0" borderId="2" xfId="260" applyNumberFormat="1" applyFont="1" applyFill="1" applyBorder="1" applyAlignment="1">
      <alignment horizontal="right" vertical="center"/>
    </xf>
    <xf numFmtId="0" fontId="21" fillId="0" borderId="21" xfId="260" applyNumberFormat="1" applyFont="1" applyFill="1" applyBorder="1" applyAlignment="1">
      <alignment vertical="center"/>
    </xf>
    <xf numFmtId="0" fontId="29" fillId="0" borderId="24" xfId="260" applyNumberFormat="1" applyFont="1" applyFill="1" applyBorder="1" applyAlignment="1">
      <alignment vertical="center" wrapText="1"/>
    </xf>
    <xf numFmtId="0" fontId="21" fillId="0" borderId="22" xfId="260" applyNumberFormat="1" applyFont="1" applyFill="1" applyBorder="1" applyAlignment="1">
      <alignment horizontal="center" vertical="center"/>
    </xf>
    <xf numFmtId="0" fontId="21" fillId="0" borderId="24" xfId="260" quotePrefix="1" applyNumberFormat="1" applyFont="1" applyFill="1" applyBorder="1">
      <alignment vertical="center"/>
    </xf>
    <xf numFmtId="177" fontId="21" fillId="0" borderId="31" xfId="260" applyNumberFormat="1" applyFont="1" applyFill="1" applyBorder="1" applyAlignment="1">
      <alignment vertical="center"/>
    </xf>
    <xf numFmtId="177" fontId="21" fillId="0" borderId="31" xfId="260" applyNumberFormat="1" applyFont="1" applyFill="1" applyBorder="1" applyAlignment="1">
      <alignment horizontal="right" vertical="center"/>
    </xf>
    <xf numFmtId="179" fontId="21" fillId="0" borderId="31" xfId="260" applyNumberFormat="1" applyFont="1" applyFill="1" applyBorder="1" applyAlignment="1">
      <alignment vertical="center"/>
    </xf>
    <xf numFmtId="186" fontId="21" fillId="0" borderId="31" xfId="260" applyNumberFormat="1" applyFont="1" applyFill="1" applyBorder="1" applyAlignment="1">
      <alignment vertical="center"/>
    </xf>
    <xf numFmtId="207" fontId="21" fillId="0" borderId="31" xfId="260" applyNumberFormat="1" applyFont="1" applyFill="1" applyBorder="1" applyAlignment="1">
      <alignment horizontal="right" vertical="center"/>
    </xf>
    <xf numFmtId="0" fontId="21" fillId="0" borderId="35" xfId="260" applyNumberFormat="1" applyFont="1" applyFill="1" applyBorder="1" applyAlignment="1">
      <alignment vertical="center"/>
    </xf>
    <xf numFmtId="0" fontId="21" fillId="0" borderId="24" xfId="260" applyNumberFormat="1" applyFont="1" applyFill="1" applyBorder="1" applyAlignment="1">
      <alignment vertical="center"/>
    </xf>
    <xf numFmtId="186" fontId="21" fillId="0" borderId="2" xfId="260" applyNumberFormat="1" applyFont="1" applyFill="1" applyBorder="1" applyAlignment="1">
      <alignment horizontal="right" vertical="center"/>
    </xf>
    <xf numFmtId="178" fontId="21" fillId="0" borderId="0" xfId="260" applyNumberFormat="1" applyFont="1" applyFill="1" applyBorder="1" applyAlignment="1">
      <alignment horizontal="right" vertical="center"/>
    </xf>
    <xf numFmtId="194" fontId="21" fillId="0" borderId="0" xfId="260" applyNumberFormat="1" applyFont="1" applyFill="1" applyBorder="1" applyAlignment="1">
      <alignment vertical="center"/>
    </xf>
    <xf numFmtId="178" fontId="21" fillId="0" borderId="0" xfId="260" applyNumberFormat="1" applyFont="1" applyFill="1" applyBorder="1" applyAlignment="1">
      <alignment vertical="center"/>
    </xf>
    <xf numFmtId="177" fontId="21" fillId="0" borderId="31" xfId="260" applyNumberFormat="1" applyFont="1" applyFill="1" applyBorder="1" applyAlignment="1" applyProtection="1">
      <alignment vertical="center"/>
    </xf>
    <xf numFmtId="178" fontId="21" fillId="0" borderId="31" xfId="260" applyNumberFormat="1" applyFont="1" applyFill="1" applyBorder="1" applyAlignment="1" applyProtection="1">
      <alignment horizontal="right" vertical="center"/>
    </xf>
    <xf numFmtId="194" fontId="21" fillId="0" borderId="31" xfId="260" applyNumberFormat="1" applyFont="1" applyFill="1" applyBorder="1" applyAlignment="1" applyProtection="1">
      <alignment vertical="center"/>
    </xf>
    <xf numFmtId="177" fontId="21" fillId="0" borderId="31" xfId="260" applyNumberFormat="1" applyFont="1" applyFill="1" applyBorder="1" applyAlignment="1" applyProtection="1">
      <alignment horizontal="right" vertical="center"/>
    </xf>
    <xf numFmtId="178" fontId="21" fillId="0" borderId="31" xfId="260" applyNumberFormat="1" applyFont="1" applyFill="1" applyBorder="1" applyAlignment="1" applyProtection="1">
      <alignment vertical="center"/>
    </xf>
    <xf numFmtId="177" fontId="21" fillId="0" borderId="0" xfId="260" applyNumberFormat="1" applyFont="1" applyFill="1" applyBorder="1" applyAlignment="1" applyProtection="1">
      <alignment vertical="center"/>
    </xf>
    <xf numFmtId="178" fontId="21" fillId="0" borderId="0" xfId="260" applyNumberFormat="1" applyFont="1" applyFill="1" applyBorder="1" applyAlignment="1" applyProtection="1">
      <alignment horizontal="right" vertical="center"/>
    </xf>
    <xf numFmtId="178" fontId="21" fillId="0" borderId="0" xfId="260" applyNumberFormat="1" applyFont="1" applyFill="1" applyBorder="1" applyAlignment="1" applyProtection="1">
      <alignment horizontal="center" vertical="center"/>
    </xf>
    <xf numFmtId="186" fontId="21" fillId="0" borderId="0" xfId="260" applyNumberFormat="1" applyFont="1" applyFill="1" applyBorder="1" applyAlignment="1" applyProtection="1">
      <alignment vertical="center"/>
    </xf>
    <xf numFmtId="189" fontId="21" fillId="0" borderId="0" xfId="260" applyNumberFormat="1" applyFont="1" applyFill="1" applyBorder="1" applyAlignment="1" applyProtection="1">
      <alignment horizontal="right" vertical="center"/>
    </xf>
    <xf numFmtId="178" fontId="21" fillId="0" borderId="33" xfId="260" applyNumberFormat="1" applyFont="1" applyFill="1" applyBorder="1" applyAlignment="1" applyProtection="1">
      <alignment vertical="center"/>
    </xf>
    <xf numFmtId="0" fontId="21" fillId="0" borderId="44" xfId="260" applyNumberFormat="1" applyFont="1" applyFill="1" applyBorder="1" applyAlignment="1">
      <alignment vertical="center"/>
    </xf>
    <xf numFmtId="0" fontId="21" fillId="0" borderId="50" xfId="260" applyNumberFormat="1" applyFont="1" applyFill="1" applyBorder="1" applyAlignment="1">
      <alignment vertical="center"/>
    </xf>
    <xf numFmtId="177" fontId="21" fillId="0" borderId="12" xfId="260" applyNumberFormat="1" applyFont="1" applyFill="1" applyBorder="1" applyAlignment="1" applyProtection="1">
      <alignment vertical="center"/>
    </xf>
    <xf numFmtId="178" fontId="21" fillId="0" borderId="12" xfId="260" applyNumberFormat="1" applyFont="1" applyFill="1" applyBorder="1" applyAlignment="1" applyProtection="1">
      <alignment horizontal="right" vertical="center"/>
    </xf>
    <xf numFmtId="178" fontId="21" fillId="0" borderId="12" xfId="260" applyNumberFormat="1" applyFont="1" applyFill="1" applyBorder="1" applyAlignment="1" applyProtection="1">
      <alignment horizontal="center" vertical="center"/>
    </xf>
    <xf numFmtId="186" fontId="21" fillId="0" borderId="12" xfId="260" applyNumberFormat="1" applyFont="1" applyFill="1" applyBorder="1" applyAlignment="1" applyProtection="1">
      <alignment vertical="center"/>
    </xf>
    <xf numFmtId="189" fontId="21" fillId="0" borderId="12" xfId="260" applyNumberFormat="1" applyFont="1" applyFill="1" applyBorder="1" applyAlignment="1" applyProtection="1">
      <alignment horizontal="right" vertical="center"/>
    </xf>
    <xf numFmtId="178" fontId="21" fillId="0" borderId="51" xfId="260" applyNumberFormat="1" applyFont="1" applyFill="1" applyBorder="1" applyAlignment="1" applyProtection="1">
      <alignment vertical="center"/>
    </xf>
    <xf numFmtId="191" fontId="53" fillId="0" borderId="0" xfId="272" applyNumberFormat="1" applyFill="1">
      <alignment vertical="center"/>
    </xf>
    <xf numFmtId="191" fontId="24" fillId="0" borderId="57" xfId="9" applyNumberFormat="1" applyFont="1" applyFill="1" applyBorder="1" applyAlignment="1">
      <alignment horizontal="right" vertical="center"/>
    </xf>
    <xf numFmtId="191" fontId="24" fillId="0" borderId="2" xfId="106" applyNumberFormat="1" applyFont="1" applyFill="1" applyBorder="1" applyAlignment="1">
      <alignment horizontal="right" vertical="center"/>
    </xf>
    <xf numFmtId="191" fontId="24" fillId="0" borderId="2" xfId="260" applyNumberFormat="1" applyFont="1" applyFill="1" applyBorder="1" applyAlignment="1">
      <alignment horizontal="right" vertical="center"/>
    </xf>
    <xf numFmtId="191" fontId="21" fillId="0" borderId="37" xfId="9" applyNumberFormat="1" applyFont="1" applyFill="1" applyBorder="1" applyAlignment="1">
      <alignment horizontal="right" vertical="center"/>
    </xf>
    <xf numFmtId="191" fontId="24" fillId="0" borderId="31" xfId="260" applyNumberFormat="1" applyFont="1" applyFill="1" applyBorder="1" applyAlignment="1">
      <alignment horizontal="right" vertical="center"/>
    </xf>
    <xf numFmtId="191" fontId="21" fillId="0" borderId="2" xfId="260" applyNumberFormat="1" applyFont="1" applyFill="1" applyBorder="1" applyAlignment="1">
      <alignment horizontal="right" vertical="center"/>
    </xf>
    <xf numFmtId="218" fontId="24" fillId="0" borderId="23" xfId="9" applyNumberFormat="1" applyFont="1" applyFill="1" applyBorder="1" applyAlignment="1">
      <alignment horizontal="right" vertical="center"/>
    </xf>
    <xf numFmtId="218" fontId="24" fillId="0" borderId="36" xfId="20" applyNumberFormat="1" applyFont="1" applyFill="1" applyBorder="1" applyAlignment="1">
      <alignment horizontal="right" vertical="center" wrapText="1"/>
    </xf>
    <xf numFmtId="218" fontId="24" fillId="0" borderId="23" xfId="20" applyNumberFormat="1" applyFont="1" applyFill="1" applyBorder="1" applyAlignment="1">
      <alignment horizontal="right" vertical="center" wrapText="1"/>
    </xf>
    <xf numFmtId="218" fontId="24" fillId="0" borderId="22" xfId="20" applyNumberFormat="1" applyFont="1" applyFill="1" applyBorder="1" applyAlignment="1">
      <alignment horizontal="right" vertical="center" wrapText="1"/>
    </xf>
    <xf numFmtId="218" fontId="24" fillId="0" borderId="16" xfId="9" applyNumberFormat="1" applyFont="1" applyFill="1" applyBorder="1" applyAlignment="1">
      <alignment horizontal="right" vertical="center"/>
    </xf>
    <xf numFmtId="218" fontId="21" fillId="0" borderId="28" xfId="1" applyNumberFormat="1" applyFont="1" applyFill="1" applyBorder="1" applyAlignment="1">
      <alignment horizontal="right" vertical="center"/>
    </xf>
    <xf numFmtId="218" fontId="24" fillId="0" borderId="36" xfId="9" applyNumberFormat="1" applyFont="1" applyFill="1" applyBorder="1" applyAlignment="1">
      <alignment horizontal="right" vertical="center"/>
    </xf>
    <xf numFmtId="218" fontId="24" fillId="0" borderId="26" xfId="260" applyNumberFormat="1" applyFont="1" applyFill="1" applyBorder="1" applyAlignment="1">
      <alignment horizontal="right" vertical="center"/>
    </xf>
    <xf numFmtId="218" fontId="21" fillId="0" borderId="26" xfId="260" applyNumberFormat="1" applyFont="1" applyFill="1" applyBorder="1" applyAlignment="1">
      <alignment horizontal="right" vertical="center"/>
    </xf>
    <xf numFmtId="218" fontId="21" fillId="0" borderId="36" xfId="260" applyNumberFormat="1" applyFont="1" applyFill="1" applyBorder="1" applyAlignment="1">
      <alignment horizontal="right" vertical="center"/>
    </xf>
    <xf numFmtId="218" fontId="24" fillId="0" borderId="42" xfId="260" applyNumberFormat="1" applyFont="1" applyFill="1" applyBorder="1" applyAlignment="1">
      <alignment horizontal="right" vertical="center"/>
    </xf>
    <xf numFmtId="218" fontId="21" fillId="0" borderId="2" xfId="9" applyNumberFormat="1" applyFont="1" applyFill="1" applyBorder="1" applyAlignment="1">
      <alignment horizontal="right" vertical="center"/>
    </xf>
    <xf numFmtId="218" fontId="21" fillId="0" borderId="31" xfId="9" applyNumberFormat="1" applyFont="1" applyFill="1" applyBorder="1" applyAlignment="1">
      <alignment horizontal="right" vertical="center"/>
    </xf>
    <xf numFmtId="9" fontId="44" fillId="0" borderId="2" xfId="106" applyNumberFormat="1" applyFont="1" applyFill="1" applyBorder="1" applyAlignment="1">
      <alignment horizontal="right" vertical="center"/>
    </xf>
    <xf numFmtId="189" fontId="23" fillId="0" borderId="0" xfId="106" applyNumberFormat="1" applyFont="1" applyFill="1" applyBorder="1" applyAlignment="1">
      <alignment horizontal="right" vertical="center"/>
    </xf>
    <xf numFmtId="9" fontId="23" fillId="0" borderId="2" xfId="106" applyNumberFormat="1" applyFont="1" applyFill="1" applyBorder="1" applyAlignment="1">
      <alignment horizontal="right" vertical="center"/>
    </xf>
    <xf numFmtId="189" fontId="21" fillId="0" borderId="0" xfId="163" applyNumberFormat="1" applyFont="1" applyFill="1" applyBorder="1" applyAlignment="1">
      <alignment horizontal="right" vertical="center"/>
    </xf>
    <xf numFmtId="189" fontId="23" fillId="0" borderId="2" xfId="11" applyNumberFormat="1" applyFont="1" applyFill="1" applyBorder="1" applyAlignment="1">
      <alignment horizontal="right" vertical="center"/>
    </xf>
    <xf numFmtId="189" fontId="21" fillId="0" borderId="37" xfId="163" applyNumberFormat="1" applyFont="1" applyFill="1" applyBorder="1" applyAlignment="1">
      <alignment horizontal="right" vertical="center"/>
    </xf>
    <xf numFmtId="178" fontId="21" fillId="0" borderId="31" xfId="289" applyNumberFormat="1" applyFont="1" applyFill="1" applyBorder="1" applyAlignment="1">
      <alignment horizontal="right" vertical="center" shrinkToFit="1"/>
    </xf>
    <xf numFmtId="189" fontId="45" fillId="0" borderId="2" xfId="20" applyNumberFormat="1" applyFont="1" applyFill="1" applyBorder="1" applyAlignment="1">
      <alignment horizontal="right"/>
    </xf>
    <xf numFmtId="0" fontId="21" fillId="0" borderId="0" xfId="261" quotePrefix="1" applyNumberFormat="1" applyFont="1" applyFill="1" applyBorder="1" applyAlignment="1">
      <alignment horizontal="center" vertical="center"/>
    </xf>
    <xf numFmtId="177" fontId="21" fillId="25" borderId="31" xfId="289" applyNumberFormat="1" applyFont="1" applyFill="1" applyBorder="1" applyAlignment="1">
      <alignment horizontal="right" vertical="center" shrinkToFit="1"/>
    </xf>
    <xf numFmtId="177" fontId="21" fillId="25" borderId="12" xfId="289" applyNumberFormat="1" applyFont="1" applyFill="1" applyBorder="1" applyAlignment="1">
      <alignment horizontal="right" vertical="center" shrinkToFit="1"/>
    </xf>
    <xf numFmtId="219" fontId="21" fillId="0" borderId="0" xfId="20" applyNumberFormat="1" applyFont="1" applyFill="1" applyBorder="1" applyAlignment="1">
      <alignment vertical="center"/>
    </xf>
    <xf numFmtId="0" fontId="21" fillId="0" borderId="0" xfId="11" applyNumberFormat="1" applyFont="1" applyFill="1" applyBorder="1" applyAlignment="1">
      <alignment horizontal="left" vertical="center"/>
    </xf>
    <xf numFmtId="177" fontId="21" fillId="0" borderId="0" xfId="11" applyNumberFormat="1" applyFont="1" applyFill="1" applyBorder="1" applyAlignment="1">
      <alignment horizontal="right" vertical="center"/>
    </xf>
    <xf numFmtId="178" fontId="21" fillId="0" borderId="0" xfId="289" applyNumberFormat="1" applyFont="1" applyFill="1" applyBorder="1" applyAlignment="1">
      <alignment horizontal="center" vertical="center" shrinkToFit="1"/>
    </xf>
    <xf numFmtId="179" fontId="21" fillId="0" borderId="0" xfId="11" applyNumberFormat="1" applyFont="1" applyFill="1" applyBorder="1" applyAlignment="1">
      <alignment horizontal="right" vertical="center"/>
    </xf>
    <xf numFmtId="189" fontId="21" fillId="0" borderId="0" xfId="11" applyNumberFormat="1" applyFont="1" applyFill="1" applyBorder="1" applyAlignment="1">
      <alignment horizontal="right" vertical="center"/>
    </xf>
    <xf numFmtId="178" fontId="21" fillId="0" borderId="33" xfId="11" applyNumberFormat="1" applyFont="1" applyFill="1" applyBorder="1" applyAlignment="1">
      <alignment horizontal="right" vertical="center"/>
    </xf>
    <xf numFmtId="184" fontId="21" fillId="0" borderId="0" xfId="11" applyNumberFormat="1" applyFont="1" applyFill="1" applyBorder="1" applyAlignment="1">
      <alignment horizontal="right" vertical="center"/>
    </xf>
    <xf numFmtId="186" fontId="21" fillId="0" borderId="0" xfId="11" applyNumberFormat="1" applyFont="1" applyFill="1" applyBorder="1" applyAlignment="1">
      <alignment horizontal="right" vertical="center"/>
    </xf>
    <xf numFmtId="178" fontId="24" fillId="0" borderId="33" xfId="11" applyNumberFormat="1" applyFont="1" applyFill="1" applyBorder="1" applyAlignment="1">
      <alignment horizontal="right" vertical="center"/>
    </xf>
    <xf numFmtId="0" fontId="21" fillId="0" borderId="0" xfId="11" applyNumberFormat="1" applyFont="1" applyFill="1" applyBorder="1" applyAlignment="1">
      <alignment horizontal="left" vertical="center" wrapText="1"/>
    </xf>
    <xf numFmtId="177" fontId="21" fillId="0" borderId="0" xfId="289" applyNumberFormat="1" applyFont="1" applyFill="1" applyBorder="1" applyAlignment="1">
      <alignment horizontal="center" vertical="center" shrinkToFit="1"/>
    </xf>
    <xf numFmtId="49" fontId="21" fillId="0" borderId="0" xfId="11" applyNumberFormat="1" applyFont="1" applyFill="1" applyBorder="1" applyAlignment="1">
      <alignment vertical="center"/>
    </xf>
    <xf numFmtId="0" fontId="21" fillId="0" borderId="0" xfId="11" applyNumberFormat="1" applyFont="1" applyFill="1" applyBorder="1" applyAlignment="1">
      <alignment vertical="center"/>
    </xf>
    <xf numFmtId="0" fontId="0" fillId="0" borderId="64" xfId="96" applyNumberFormat="1" applyFont="1" applyFill="1" applyBorder="1" applyAlignment="1">
      <alignment horizontal="center" vertical="center"/>
    </xf>
    <xf numFmtId="0" fontId="0" fillId="0" borderId="65" xfId="96" applyNumberFormat="1" applyFont="1" applyFill="1" applyBorder="1" applyAlignment="1">
      <alignment horizontal="center" vertical="center" wrapText="1"/>
    </xf>
    <xf numFmtId="41" fontId="0" fillId="0" borderId="65" xfId="171" applyNumberFormat="1" applyFont="1" applyFill="1" applyBorder="1" applyAlignment="1">
      <alignment horizontal="center" vertical="center"/>
    </xf>
    <xf numFmtId="41" fontId="0" fillId="0" borderId="65" xfId="96" applyNumberFormat="1" applyFont="1" applyFill="1" applyBorder="1" applyAlignment="1">
      <alignment horizontal="center" vertical="center"/>
    </xf>
    <xf numFmtId="41" fontId="0" fillId="0" borderId="66" xfId="96" applyNumberFormat="1" applyFont="1" applyBorder="1" applyAlignment="1">
      <alignment horizontal="center" vertical="center"/>
    </xf>
    <xf numFmtId="176" fontId="0" fillId="0" borderId="0" xfId="272" applyNumberFormat="1" applyFont="1" applyFill="1">
      <alignment vertical="center"/>
    </xf>
    <xf numFmtId="41" fontId="0" fillId="0" borderId="65" xfId="96" applyNumberFormat="1" applyFont="1" applyFill="1" applyBorder="1" applyAlignment="1">
      <alignment horizontal="center" vertical="center" wrapText="1"/>
    </xf>
    <xf numFmtId="41" fontId="0" fillId="0" borderId="0" xfId="288" applyNumberFormat="1" applyFont="1" applyFill="1">
      <alignment vertical="center"/>
    </xf>
    <xf numFmtId="184" fontId="21" fillId="0" borderId="37" xfId="11" applyNumberFormat="1" applyFont="1" applyFill="1" applyBorder="1" applyAlignment="1">
      <alignment horizontal="center" vertical="center"/>
    </xf>
    <xf numFmtId="177" fontId="21" fillId="0" borderId="0" xfId="11" applyNumberFormat="1" applyFont="1" applyFill="1" applyBorder="1" applyAlignment="1">
      <alignment horizontal="center" vertical="center"/>
    </xf>
    <xf numFmtId="182" fontId="21" fillId="0" borderId="0" xfId="289" applyNumberFormat="1" applyFont="1" applyFill="1" applyBorder="1" applyAlignment="1">
      <alignment horizontal="center" vertical="center"/>
    </xf>
    <xf numFmtId="201" fontId="21" fillId="0" borderId="0" xfId="289" applyNumberFormat="1" applyFont="1" applyFill="1" applyBorder="1" applyAlignment="1">
      <alignment horizontal="center" vertical="center" shrinkToFit="1"/>
    </xf>
    <xf numFmtId="177" fontId="21" fillId="0" borderId="31" xfId="11" applyNumberFormat="1" applyFont="1" applyFill="1" applyBorder="1" applyAlignment="1">
      <alignment horizontal="center" vertical="center"/>
    </xf>
    <xf numFmtId="177" fontId="21" fillId="0" borderId="2" xfId="165" applyNumberFormat="1" applyFont="1" applyFill="1" applyBorder="1" applyAlignment="1">
      <alignment horizontal="center" vertical="center"/>
    </xf>
    <xf numFmtId="177" fontId="21" fillId="0" borderId="2" xfId="11" applyNumberFormat="1" applyFont="1" applyFill="1" applyBorder="1" applyAlignment="1">
      <alignment horizontal="center" vertical="center"/>
    </xf>
    <xf numFmtId="182" fontId="21" fillId="0" borderId="2" xfId="289" applyNumberFormat="1" applyFont="1" applyFill="1" applyBorder="1" applyAlignment="1">
      <alignment horizontal="center" vertical="center"/>
    </xf>
    <xf numFmtId="41" fontId="53" fillId="0" borderId="0" xfId="288" applyNumberFormat="1" applyFill="1">
      <alignment vertical="center"/>
    </xf>
    <xf numFmtId="176" fontId="24" fillId="0" borderId="19" xfId="272" applyNumberFormat="1" applyFont="1" applyFill="1" applyBorder="1">
      <alignment vertical="center"/>
    </xf>
    <xf numFmtId="0" fontId="26" fillId="0" borderId="15" xfId="11" applyNumberFormat="1" applyFont="1" applyFill="1" applyBorder="1">
      <alignment vertical="center"/>
    </xf>
    <xf numFmtId="178" fontId="24" fillId="0" borderId="33" xfId="11" applyNumberFormat="1" applyFont="1" applyFill="1" applyBorder="1" applyAlignment="1">
      <alignment horizontal="right" vertical="center"/>
    </xf>
    <xf numFmtId="178" fontId="21" fillId="0" borderId="0" xfId="11" applyNumberFormat="1" applyFont="1" applyFill="1" applyBorder="1" applyAlignment="1">
      <alignment horizontal="right" vertical="center"/>
    </xf>
    <xf numFmtId="220" fontId="21" fillId="0" borderId="0" xfId="11" applyNumberFormat="1" applyFont="1" applyFill="1" applyBorder="1" applyAlignment="1">
      <alignment horizontal="right" vertical="center"/>
    </xf>
    <xf numFmtId="178" fontId="21" fillId="0" borderId="0" xfId="289" applyNumberFormat="1" applyFont="1" applyFill="1" applyBorder="1" applyAlignment="1">
      <alignment horizontal="center" vertical="center" shrinkToFit="1"/>
    </xf>
    <xf numFmtId="181" fontId="21" fillId="0" borderId="0" xfId="11" applyNumberFormat="1" applyFont="1" applyFill="1" applyBorder="1" applyAlignment="1">
      <alignment vertical="center"/>
    </xf>
    <xf numFmtId="180" fontId="21" fillId="0" borderId="0" xfId="289" applyNumberFormat="1" applyFont="1" applyFill="1" applyBorder="1" applyAlignment="1">
      <alignment horizontal="center" vertical="center" shrinkToFit="1"/>
    </xf>
    <xf numFmtId="221" fontId="21" fillId="0" borderId="0" xfId="11" applyNumberFormat="1" applyFont="1" applyFill="1" applyBorder="1" applyAlignment="1">
      <alignment horizontal="right" vertical="center"/>
    </xf>
    <xf numFmtId="177" fontId="21" fillId="0" borderId="0" xfId="11" applyNumberFormat="1" applyFont="1" applyFill="1" applyBorder="1" applyAlignment="1">
      <alignment horizontal="right" vertical="center"/>
    </xf>
    <xf numFmtId="0" fontId="21" fillId="0" borderId="41" xfId="11" applyNumberFormat="1" applyFont="1" applyFill="1" applyBorder="1" applyAlignment="1">
      <alignment horizontal="left" vertical="center"/>
    </xf>
    <xf numFmtId="180" fontId="21" fillId="0" borderId="0" xfId="11" applyNumberFormat="1" applyFont="1" applyFill="1" applyBorder="1" applyAlignment="1">
      <alignment horizontal="right" vertical="center"/>
    </xf>
    <xf numFmtId="179" fontId="21" fillId="0" borderId="0" xfId="11" applyNumberFormat="1" applyFont="1" applyFill="1" applyBorder="1" applyAlignment="1">
      <alignment horizontal="right" vertical="center"/>
    </xf>
    <xf numFmtId="0" fontId="21" fillId="0" borderId="25" xfId="11" applyNumberFormat="1" applyFont="1" applyFill="1" applyBorder="1" applyAlignment="1">
      <alignment vertical="center"/>
    </xf>
    <xf numFmtId="178" fontId="24" fillId="0" borderId="33" xfId="11" applyNumberFormat="1" applyFont="1" applyFill="1" applyBorder="1" applyAlignment="1">
      <alignment vertical="center"/>
    </xf>
    <xf numFmtId="189" fontId="21" fillId="0" borderId="0" xfId="11" applyNumberFormat="1" applyFont="1" applyFill="1" applyBorder="1" applyAlignment="1">
      <alignment horizontal="right" vertical="center"/>
    </xf>
    <xf numFmtId="177" fontId="21" fillId="0" borderId="0" xfId="11" applyNumberFormat="1" applyFont="1" applyFill="1" applyBorder="1" applyAlignment="1">
      <alignment horizontal="center" vertical="center"/>
    </xf>
    <xf numFmtId="184" fontId="21" fillId="0" borderId="0" xfId="11" applyNumberFormat="1" applyFont="1" applyFill="1" applyBorder="1" applyAlignment="1">
      <alignment horizontal="right" vertical="center"/>
    </xf>
    <xf numFmtId="0" fontId="21" fillId="0" borderId="41" xfId="11" applyNumberFormat="1" applyFont="1" applyFill="1" applyBorder="1" applyAlignment="1">
      <alignment vertical="center"/>
    </xf>
    <xf numFmtId="178" fontId="24" fillId="0" borderId="33" xfId="288" applyNumberFormat="1" applyFont="1" applyFill="1" applyBorder="1" applyAlignment="1">
      <alignment horizontal="right" vertical="center"/>
    </xf>
    <xf numFmtId="0" fontId="21" fillId="0" borderId="41" xfId="11" applyNumberFormat="1" applyFont="1" applyFill="1" applyBorder="1">
      <alignment vertical="center"/>
    </xf>
    <xf numFmtId="9" fontId="21" fillId="0" borderId="0" xfId="11" applyNumberFormat="1" applyFont="1" applyFill="1" applyBorder="1" applyAlignment="1">
      <alignment horizontal="right" vertical="center"/>
    </xf>
    <xf numFmtId="178" fontId="24" fillId="0" borderId="34" xfId="11" applyNumberFormat="1" applyFont="1" applyFill="1" applyBorder="1" applyAlignment="1">
      <alignment horizontal="right" vertical="center"/>
    </xf>
    <xf numFmtId="189" fontId="21" fillId="0" borderId="31" xfId="11" applyNumberFormat="1" applyFont="1" applyFill="1" applyBorder="1" applyAlignment="1">
      <alignment horizontal="right" vertical="center"/>
    </xf>
    <xf numFmtId="195" fontId="25" fillId="0" borderId="31" xfId="11" applyNumberFormat="1" applyFont="1" applyFill="1" applyBorder="1" applyAlignment="1">
      <alignment horizontal="right" vertical="center"/>
    </xf>
    <xf numFmtId="195" fontId="21" fillId="0" borderId="31" xfId="11" applyNumberFormat="1" applyFont="1" applyFill="1" applyBorder="1" applyAlignment="1">
      <alignment vertical="center"/>
    </xf>
    <xf numFmtId="178" fontId="21" fillId="0" borderId="31" xfId="289" applyNumberFormat="1" applyFont="1" applyFill="1" applyBorder="1" applyAlignment="1">
      <alignment horizontal="center" vertical="center" shrinkToFit="1"/>
    </xf>
    <xf numFmtId="199" fontId="21" fillId="0" borderId="31" xfId="11" applyNumberFormat="1" applyFont="1" applyFill="1" applyBorder="1" applyAlignment="1">
      <alignment horizontal="right" vertical="center"/>
    </xf>
    <xf numFmtId="177" fontId="21" fillId="0" borderId="31" xfId="11" applyNumberFormat="1" applyFont="1" applyFill="1" applyBorder="1" applyAlignment="1">
      <alignment horizontal="right" vertical="center"/>
    </xf>
    <xf numFmtId="0" fontId="21" fillId="0" borderId="24" xfId="11" applyNumberFormat="1" applyFont="1" applyFill="1" applyBorder="1" applyAlignment="1">
      <alignment horizontal="left" vertical="center"/>
    </xf>
    <xf numFmtId="186" fontId="21" fillId="0" borderId="0" xfId="11" applyNumberFormat="1" applyFont="1" applyFill="1" applyBorder="1" applyAlignment="1">
      <alignment horizontal="right" vertical="center"/>
    </xf>
    <xf numFmtId="177" fontId="21" fillId="0" borderId="0" xfId="289" applyNumberFormat="1" applyFont="1" applyFill="1" applyBorder="1" applyAlignment="1">
      <alignment horizontal="right" vertical="center" shrinkToFit="1"/>
    </xf>
    <xf numFmtId="49" fontId="21" fillId="0" borderId="41" xfId="289" applyNumberFormat="1" applyFont="1" applyFill="1" applyBorder="1" applyAlignment="1">
      <alignment horizontal="left" vertical="center" shrinkToFit="1"/>
    </xf>
    <xf numFmtId="198" fontId="21" fillId="0" borderId="31" xfId="11" applyNumberFormat="1" applyFont="1" applyFill="1" applyBorder="1" applyAlignment="1">
      <alignment horizontal="right" vertical="center"/>
    </xf>
    <xf numFmtId="0" fontId="21" fillId="0" borderId="24" xfId="11" applyNumberFormat="1" applyFont="1" applyFill="1" applyBorder="1" applyAlignment="1">
      <alignment vertical="center"/>
    </xf>
    <xf numFmtId="0" fontId="0" fillId="0" borderId="0" xfId="272" applyNumberFormat="1" applyFont="1" applyFill="1">
      <alignment vertical="center"/>
    </xf>
    <xf numFmtId="41" fontId="0" fillId="0" borderId="0" xfId="288" applyNumberFormat="1" applyFont="1" applyFill="1">
      <alignment vertical="center"/>
    </xf>
    <xf numFmtId="41" fontId="23" fillId="25" borderId="12" xfId="9" applyNumberFormat="1" applyFont="1" applyFill="1" applyBorder="1" applyAlignment="1">
      <alignment horizontal="right" vertical="center"/>
    </xf>
    <xf numFmtId="41" fontId="23" fillId="25" borderId="12" xfId="9" applyNumberFormat="1" applyFont="1" applyFill="1" applyBorder="1" applyAlignment="1">
      <alignment horizontal="center" vertical="center"/>
    </xf>
    <xf numFmtId="189" fontId="0" fillId="25" borderId="12" xfId="261" applyNumberFormat="1" applyFont="1" applyFill="1" applyBorder="1" applyAlignment="1">
      <alignment vertical="center"/>
    </xf>
    <xf numFmtId="177" fontId="0" fillId="25" borderId="12" xfId="261" applyNumberFormat="1" applyFont="1" applyFill="1" applyBorder="1" applyAlignment="1">
      <alignment horizontal="center" vertical="center"/>
    </xf>
    <xf numFmtId="9" fontId="0" fillId="25" borderId="12" xfId="261" applyNumberFormat="1" applyFont="1" applyFill="1" applyBorder="1" applyAlignment="1">
      <alignment vertical="center"/>
    </xf>
    <xf numFmtId="177" fontId="23" fillId="25" borderId="12" xfId="261" applyNumberFormat="1" applyFont="1" applyFill="1" applyBorder="1" applyAlignment="1">
      <alignment vertical="center"/>
    </xf>
    <xf numFmtId="0" fontId="23" fillId="25" borderId="12" xfId="261" applyNumberFormat="1" applyFont="1" applyFill="1" applyBorder="1" applyAlignment="1">
      <alignment vertical="center"/>
    </xf>
    <xf numFmtId="41" fontId="35" fillId="25" borderId="12" xfId="9" applyNumberFormat="1" applyFont="1" applyFill="1" applyBorder="1" applyAlignment="1">
      <alignment horizontal="center" vertical="center"/>
    </xf>
    <xf numFmtId="0" fontId="0" fillId="25" borderId="12" xfId="261" applyNumberFormat="1" applyFont="1" applyFill="1" applyBorder="1" applyAlignment="1">
      <alignment vertical="center"/>
    </xf>
    <xf numFmtId="178" fontId="21" fillId="0" borderId="46" xfId="11" applyNumberFormat="1" applyFont="1" applyFill="1" applyBorder="1" applyAlignment="1">
      <alignment horizontal="right" vertical="center"/>
    </xf>
    <xf numFmtId="189" fontId="21" fillId="0" borderId="45" xfId="11" applyNumberFormat="1" applyFont="1" applyFill="1" applyBorder="1" applyAlignment="1">
      <alignment horizontal="right" vertical="center"/>
    </xf>
    <xf numFmtId="180" fontId="21" fillId="0" borderId="45" xfId="11" applyNumberFormat="1" applyFont="1" applyFill="1" applyBorder="1" applyAlignment="1">
      <alignment horizontal="right" vertical="center"/>
    </xf>
    <xf numFmtId="178" fontId="21" fillId="0" borderId="45" xfId="289" applyNumberFormat="1" applyFont="1" applyFill="1" applyBorder="1" applyAlignment="1">
      <alignment horizontal="center" vertical="center" shrinkToFit="1"/>
    </xf>
    <xf numFmtId="221" fontId="21" fillId="0" borderId="45" xfId="11" applyNumberFormat="1" applyFont="1" applyFill="1" applyBorder="1" applyAlignment="1">
      <alignment vertical="center"/>
    </xf>
    <xf numFmtId="179" fontId="21" fillId="0" borderId="45" xfId="11" applyNumberFormat="1" applyFont="1" applyFill="1" applyBorder="1" applyAlignment="1">
      <alignment horizontal="right" vertical="center"/>
    </xf>
    <xf numFmtId="177" fontId="21" fillId="0" borderId="45" xfId="11" applyNumberFormat="1" applyFont="1" applyFill="1" applyBorder="1" applyAlignment="1">
      <alignment horizontal="right" vertical="center"/>
    </xf>
    <xf numFmtId="0" fontId="21" fillId="0" borderId="30" xfId="11" applyNumberFormat="1" applyFont="1" applyFill="1" applyBorder="1" applyAlignment="1">
      <alignment vertical="center"/>
    </xf>
    <xf numFmtId="178" fontId="0" fillId="0" borderId="34" xfId="272" applyNumberFormat="1" applyFont="1" applyFill="1" applyBorder="1">
      <alignment vertical="center"/>
    </xf>
    <xf numFmtId="0" fontId="53" fillId="0" borderId="31" xfId="272" applyNumberFormat="1" applyFill="1" applyBorder="1">
      <alignment vertical="center"/>
    </xf>
    <xf numFmtId="218" fontId="21" fillId="0" borderId="22" xfId="11" applyNumberFormat="1" applyFont="1" applyFill="1" applyBorder="1" applyAlignment="1">
      <alignment horizontal="right" vertical="center"/>
    </xf>
    <xf numFmtId="191" fontId="21" fillId="0" borderId="31" xfId="11" applyNumberFormat="1" applyFont="1" applyFill="1" applyBorder="1" applyAlignment="1">
      <alignment horizontal="right" vertical="center"/>
    </xf>
    <xf numFmtId="178" fontId="24" fillId="0" borderId="33" xfId="285" applyNumberFormat="1" applyFont="1" applyFill="1" applyBorder="1" applyAlignment="1">
      <alignment horizontal="right" vertical="center"/>
    </xf>
    <xf numFmtId="189" fontId="21" fillId="0" borderId="0" xfId="165" applyNumberFormat="1" applyFont="1" applyFill="1" applyBorder="1" applyAlignment="1">
      <alignment horizontal="right" vertical="center"/>
    </xf>
    <xf numFmtId="178" fontId="21" fillId="0" borderId="0" xfId="15" applyNumberFormat="1" applyFont="1" applyFill="1" applyBorder="1" applyAlignment="1">
      <alignment horizontal="center" vertical="center" shrinkToFit="1"/>
    </xf>
    <xf numFmtId="9" fontId="21" fillId="0" borderId="0" xfId="165" applyNumberFormat="1" applyFont="1" applyFill="1" applyBorder="1">
      <alignment vertical="center"/>
    </xf>
    <xf numFmtId="0" fontId="21" fillId="0" borderId="2" xfId="165" applyNumberFormat="1" applyFont="1" applyFill="1" applyBorder="1" applyAlignment="1">
      <alignment horizontal="left" vertical="center"/>
    </xf>
    <xf numFmtId="222" fontId="21" fillId="0" borderId="0" xfId="20" applyNumberFormat="1" applyFont="1" applyFill="1" applyBorder="1" applyAlignment="1">
      <alignment vertical="center"/>
    </xf>
    <xf numFmtId="180" fontId="21" fillId="0" borderId="31" xfId="20" applyNumberFormat="1" applyFont="1" applyFill="1" applyBorder="1" applyAlignment="1" applyProtection="1">
      <alignment vertical="center"/>
    </xf>
    <xf numFmtId="0" fontId="0" fillId="0" borderId="19" xfId="96" applyNumberFormat="1" applyFont="1" applyFill="1" applyBorder="1" applyAlignment="1">
      <alignment horizontal="center" vertical="center" wrapText="1"/>
    </xf>
    <xf numFmtId="0" fontId="0" fillId="0" borderId="23" xfId="272" applyNumberFormat="1" applyFont="1" applyFill="1" applyBorder="1">
      <alignment vertical="center"/>
    </xf>
    <xf numFmtId="41" fontId="0" fillId="0" borderId="36" xfId="272" applyNumberFormat="1" applyFont="1" applyFill="1" applyBorder="1">
      <alignment vertical="center"/>
    </xf>
    <xf numFmtId="218" fontId="24" fillId="25" borderId="79" xfId="9" applyNumberFormat="1" applyFont="1" applyFill="1" applyBorder="1" applyAlignment="1">
      <alignment horizontal="right" vertical="center"/>
    </xf>
    <xf numFmtId="218" fontId="24" fillId="25" borderId="80" xfId="9" applyNumberFormat="1" applyFont="1" applyFill="1" applyBorder="1" applyAlignment="1">
      <alignment horizontal="right" vertical="center"/>
    </xf>
    <xf numFmtId="218" fontId="21" fillId="25" borderId="80" xfId="9" applyNumberFormat="1" applyFont="1" applyFill="1" applyBorder="1" applyAlignment="1">
      <alignment horizontal="right" vertical="center"/>
    </xf>
    <xf numFmtId="218" fontId="24" fillId="25" borderId="81" xfId="9" applyNumberFormat="1" applyFont="1" applyFill="1" applyBorder="1" applyAlignment="1">
      <alignment horizontal="right" vertical="center"/>
    </xf>
    <xf numFmtId="218" fontId="21" fillId="25" borderId="81" xfId="9" applyNumberFormat="1" applyFont="1" applyFill="1" applyBorder="1" applyAlignment="1">
      <alignment horizontal="right" vertical="center"/>
    </xf>
    <xf numFmtId="218" fontId="21" fillId="25" borderId="82" xfId="9" applyNumberFormat="1" applyFont="1" applyFill="1" applyBorder="1" applyAlignment="1">
      <alignment horizontal="right" vertical="center"/>
    </xf>
    <xf numFmtId="0" fontId="53" fillId="25" borderId="12" xfId="261" applyNumberFormat="1" applyFont="1" applyFill="1" applyBorder="1" applyAlignment="1">
      <alignment vertical="center"/>
    </xf>
    <xf numFmtId="176" fontId="24" fillId="0" borderId="26" xfId="20" applyNumberFormat="1" applyFont="1" applyFill="1" applyBorder="1" applyAlignment="1">
      <alignment horizontal="right" vertical="center"/>
    </xf>
    <xf numFmtId="176" fontId="21" fillId="0" borderId="19" xfId="20" applyNumberFormat="1" applyFont="1" applyFill="1" applyBorder="1" applyAlignment="1">
      <alignment horizontal="right" vertical="center"/>
    </xf>
    <xf numFmtId="177" fontId="21" fillId="0" borderId="0" xfId="11" applyNumberFormat="1" applyFont="1" applyFill="1" applyBorder="1" applyAlignment="1">
      <alignment horizontal="center" vertical="center"/>
    </xf>
    <xf numFmtId="41" fontId="53" fillId="0" borderId="0" xfId="288">
      <alignment vertical="center"/>
    </xf>
    <xf numFmtId="41" fontId="5" fillId="0" borderId="0" xfId="272" applyNumberFormat="1" applyFont="1" applyFill="1" applyBorder="1">
      <alignment vertical="center"/>
    </xf>
    <xf numFmtId="223" fontId="21" fillId="0" borderId="0" xfId="11" applyNumberFormat="1" applyFont="1" applyAlignment="1">
      <alignment horizontal="right" vertical="center"/>
    </xf>
    <xf numFmtId="178" fontId="21" fillId="0" borderId="0" xfId="296" applyNumberFormat="1" applyFont="1" applyAlignment="1">
      <alignment horizontal="center" vertical="center" shrinkToFit="1"/>
    </xf>
    <xf numFmtId="177" fontId="21" fillId="0" borderId="0" xfId="11" applyNumberFormat="1" applyFont="1" applyAlignment="1">
      <alignment horizontal="center" vertical="center"/>
    </xf>
    <xf numFmtId="189" fontId="21" fillId="0" borderId="0" xfId="11" applyNumberFormat="1" applyFont="1" applyAlignment="1">
      <alignment horizontal="right" vertical="center"/>
    </xf>
    <xf numFmtId="0" fontId="21" fillId="0" borderId="0" xfId="11" applyFont="1" applyAlignment="1">
      <alignment horizontal="left" vertical="center"/>
    </xf>
    <xf numFmtId="0" fontId="21" fillId="0" borderId="0" xfId="12" applyFont="1">
      <alignment vertical="center"/>
    </xf>
    <xf numFmtId="177" fontId="21" fillId="0" borderId="0" xfId="11" applyNumberFormat="1" applyFont="1" applyAlignment="1">
      <alignment horizontal="right" vertical="center"/>
    </xf>
    <xf numFmtId="179" fontId="21" fillId="0" borderId="0" xfId="11" applyNumberFormat="1" applyFont="1" applyAlignment="1">
      <alignment horizontal="right" vertical="center"/>
    </xf>
    <xf numFmtId="0" fontId="21" fillId="0" borderId="0" xfId="296" applyFont="1" applyAlignment="1">
      <alignment horizontal="center" vertical="center" shrinkToFit="1"/>
    </xf>
    <xf numFmtId="178" fontId="21" fillId="0" borderId="33" xfId="11" applyNumberFormat="1" applyFont="1" applyBorder="1" applyAlignment="1">
      <alignment horizontal="right" vertical="center"/>
    </xf>
    <xf numFmtId="178" fontId="21" fillId="0" borderId="33" xfId="297" applyNumberFormat="1" applyFont="1" applyBorder="1" applyAlignment="1">
      <alignment horizontal="right" vertical="center"/>
    </xf>
    <xf numFmtId="177" fontId="21" fillId="0" borderId="0" xfId="12" applyNumberFormat="1" applyFont="1" applyAlignment="1">
      <alignment horizontal="right" vertical="center"/>
    </xf>
    <xf numFmtId="179" fontId="21" fillId="0" borderId="0" xfId="12" applyNumberFormat="1" applyFont="1" applyAlignment="1">
      <alignment horizontal="right" vertical="center"/>
    </xf>
    <xf numFmtId="177" fontId="21" fillId="0" borderId="0" xfId="12" applyNumberFormat="1" applyFont="1" applyAlignment="1">
      <alignment horizontal="center" vertical="center"/>
    </xf>
    <xf numFmtId="0" fontId="21" fillId="0" borderId="0" xfId="298" applyFont="1">
      <alignment vertical="center"/>
    </xf>
    <xf numFmtId="189" fontId="21" fillId="0" borderId="0" xfId="12" applyNumberFormat="1" applyFont="1" applyAlignment="1">
      <alignment horizontal="right" vertical="center"/>
    </xf>
    <xf numFmtId="178" fontId="21" fillId="0" borderId="0" xfId="298" applyNumberFormat="1" applyFont="1">
      <alignment vertical="center"/>
    </xf>
    <xf numFmtId="9" fontId="21" fillId="0" borderId="0" xfId="11" applyNumberFormat="1" applyFont="1" applyAlignment="1">
      <alignment horizontal="center" vertical="center"/>
    </xf>
    <xf numFmtId="178" fontId="24" fillId="0" borderId="33" xfId="11" applyNumberFormat="1" applyFont="1" applyBorder="1" applyAlignment="1">
      <alignment horizontal="right" vertical="center"/>
    </xf>
    <xf numFmtId="195" fontId="21" fillId="0" borderId="0" xfId="11" applyNumberFormat="1" applyFont="1">
      <alignment vertical="center"/>
    </xf>
    <xf numFmtId="177" fontId="21" fillId="0" borderId="0" xfId="11" applyNumberFormat="1" applyFont="1">
      <alignment vertical="center"/>
    </xf>
    <xf numFmtId="177" fontId="21" fillId="0" borderId="0" xfId="298" applyNumberFormat="1" applyFont="1">
      <alignment vertical="center"/>
    </xf>
    <xf numFmtId="9" fontId="21" fillId="0" borderId="0" xfId="11" applyNumberFormat="1" applyFont="1" applyAlignment="1">
      <alignment horizontal="right" vertical="center"/>
    </xf>
    <xf numFmtId="186" fontId="21" fillId="0" borderId="0" xfId="11" applyNumberFormat="1" applyFont="1" applyAlignment="1">
      <alignment horizontal="right" vertical="center"/>
    </xf>
    <xf numFmtId="178" fontId="21" fillId="0" borderId="33" xfId="12" applyNumberFormat="1" applyFont="1" applyBorder="1" applyAlignment="1">
      <alignment horizontal="right" vertical="center"/>
    </xf>
    <xf numFmtId="9" fontId="21" fillId="0" borderId="0" xfId="12" applyNumberFormat="1" applyFont="1" applyAlignment="1">
      <alignment horizontal="right" vertical="center"/>
    </xf>
    <xf numFmtId="178" fontId="21" fillId="29" borderId="33" xfId="11" applyNumberFormat="1" applyFont="1" applyFill="1" applyBorder="1" applyAlignment="1">
      <alignment horizontal="right" vertical="center"/>
    </xf>
    <xf numFmtId="177" fontId="21" fillId="0" borderId="37" xfId="11" applyNumberFormat="1" applyFont="1" applyBorder="1" applyAlignment="1">
      <alignment horizontal="right" vertical="center"/>
    </xf>
    <xf numFmtId="178" fontId="21" fillId="0" borderId="37" xfId="296" applyNumberFormat="1" applyFont="1" applyBorder="1" applyAlignment="1">
      <alignment horizontal="center" vertical="center" shrinkToFit="1"/>
    </xf>
    <xf numFmtId="185" fontId="21" fillId="0" borderId="37" xfId="11" applyNumberFormat="1" applyFont="1" applyBorder="1" applyAlignment="1">
      <alignment horizontal="right" vertical="center"/>
    </xf>
    <xf numFmtId="189" fontId="21" fillId="0" borderId="37" xfId="11" applyNumberFormat="1" applyFont="1" applyBorder="1" applyAlignment="1">
      <alignment horizontal="right" vertical="center"/>
    </xf>
    <xf numFmtId="178" fontId="24" fillId="0" borderId="39" xfId="11" applyNumberFormat="1" applyFont="1" applyBorder="1">
      <alignment vertical="center"/>
    </xf>
    <xf numFmtId="38" fontId="21" fillId="0" borderId="0" xfId="289" applyNumberFormat="1" applyFont="1" applyAlignment="1">
      <alignment horizontal="center" vertical="center" shrinkToFit="1"/>
    </xf>
    <xf numFmtId="0" fontId="21" fillId="0" borderId="0" xfId="272" applyFont="1">
      <alignment vertical="center"/>
    </xf>
    <xf numFmtId="178" fontId="21" fillId="0" borderId="33" xfId="288" applyNumberFormat="1" applyFont="1" applyBorder="1" applyAlignment="1">
      <alignment horizontal="right" vertical="center"/>
    </xf>
    <xf numFmtId="0" fontId="21" fillId="0" borderId="0" xfId="289" applyFont="1" applyAlignment="1">
      <alignment horizontal="center" vertical="center" shrinkToFit="1"/>
    </xf>
    <xf numFmtId="0" fontId="21" fillId="0" borderId="41" xfId="12" applyFont="1" applyBorder="1">
      <alignment vertical="center"/>
    </xf>
    <xf numFmtId="38" fontId="21" fillId="0" borderId="0" xfId="272" applyNumberFormat="1" applyFont="1">
      <alignment vertical="center"/>
    </xf>
    <xf numFmtId="178" fontId="24" fillId="0" borderId="33" xfId="288" applyNumberFormat="1" applyFont="1" applyBorder="1" applyAlignment="1">
      <alignment horizontal="right" vertical="center"/>
    </xf>
    <xf numFmtId="38" fontId="21" fillId="0" borderId="33" xfId="12" applyNumberFormat="1" applyFont="1" applyBorder="1" applyAlignment="1">
      <alignment horizontal="right" vertical="center"/>
    </xf>
    <xf numFmtId="38" fontId="21" fillId="0" borderId="33" xfId="299" applyNumberFormat="1" applyFont="1" applyBorder="1" applyAlignment="1">
      <alignment horizontal="right" vertical="center"/>
    </xf>
    <xf numFmtId="177" fontId="21" fillId="0" borderId="0" xfId="260" applyNumberFormat="1" applyFont="1" applyFill="1" applyBorder="1">
      <alignment vertical="center"/>
    </xf>
    <xf numFmtId="0" fontId="53" fillId="0" borderId="0" xfId="272" applyNumberFormat="1" applyFont="1" applyFill="1">
      <alignment vertical="center"/>
    </xf>
    <xf numFmtId="178" fontId="21" fillId="29" borderId="33" xfId="81" applyNumberFormat="1" applyFont="1" applyFill="1" applyBorder="1" applyAlignment="1">
      <alignment vertical="center"/>
    </xf>
    <xf numFmtId="0" fontId="25" fillId="0" borderId="19" xfId="10" applyNumberFormat="1" applyFont="1" applyFill="1" applyBorder="1" applyAlignment="1">
      <alignment horizontal="left" vertical="center" shrinkToFit="1"/>
    </xf>
    <xf numFmtId="0" fontId="53" fillId="0" borderId="37" xfId="272" applyNumberFormat="1" applyFill="1" applyBorder="1">
      <alignment vertical="center"/>
    </xf>
    <xf numFmtId="204" fontId="21" fillId="0" borderId="0" xfId="289" applyNumberFormat="1" applyFont="1" applyFill="1" applyBorder="1" applyAlignment="1">
      <alignment horizontal="right" vertical="center" shrinkToFit="1"/>
    </xf>
    <xf numFmtId="215" fontId="21" fillId="0" borderId="0" xfId="289" applyNumberFormat="1" applyFont="1" applyFill="1" applyBorder="1" applyAlignment="1">
      <alignment horizontal="right" vertical="center" shrinkToFit="1"/>
    </xf>
    <xf numFmtId="201" fontId="21" fillId="0" borderId="0" xfId="289" applyNumberFormat="1" applyFont="1" applyFill="1" applyBorder="1" applyAlignment="1">
      <alignment horizontal="right" vertical="center" shrinkToFit="1"/>
    </xf>
    <xf numFmtId="201" fontId="21" fillId="0" borderId="0" xfId="289" applyNumberFormat="1" applyFont="1" applyFill="1" applyBorder="1" applyAlignment="1">
      <alignment vertical="center" shrinkToFit="1"/>
    </xf>
    <xf numFmtId="200" fontId="21" fillId="0" borderId="0" xfId="289" applyNumberFormat="1" applyFont="1" applyFill="1" applyBorder="1" applyAlignment="1">
      <alignment horizontal="right" vertical="center" shrinkToFit="1"/>
    </xf>
    <xf numFmtId="178" fontId="21" fillId="0" borderId="0" xfId="289" applyNumberFormat="1" applyFont="1" applyFill="1" applyBorder="1" applyAlignment="1">
      <alignment horizontal="right" vertical="center" shrinkToFit="1"/>
    </xf>
    <xf numFmtId="185" fontId="21" fillId="0" borderId="37" xfId="11" applyNumberFormat="1" applyFont="1" applyFill="1" applyBorder="1" applyAlignment="1">
      <alignment vertical="center"/>
    </xf>
    <xf numFmtId="184" fontId="21" fillId="0" borderId="0" xfId="11" applyNumberFormat="1" applyFont="1" applyFill="1" applyBorder="1" applyAlignment="1">
      <alignment horizontal="center" vertical="center"/>
    </xf>
    <xf numFmtId="178" fontId="53" fillId="0" borderId="32" xfId="272" applyNumberFormat="1" applyFill="1" applyBorder="1">
      <alignment vertical="center"/>
    </xf>
    <xf numFmtId="179" fontId="21" fillId="0" borderId="0" xfId="20" applyNumberFormat="1" applyFont="1" applyFill="1" applyBorder="1" applyAlignment="1">
      <alignment horizontal="right" vertical="center"/>
    </xf>
    <xf numFmtId="9" fontId="21" fillId="0" borderId="0" xfId="20" applyNumberFormat="1" applyFont="1" applyFill="1" applyBorder="1" applyAlignment="1">
      <alignment horizontal="right" vertical="center"/>
    </xf>
    <xf numFmtId="216" fontId="21" fillId="0" borderId="0" xfId="20" applyNumberFormat="1" applyFont="1" applyFill="1" applyBorder="1" applyAlignment="1">
      <alignment horizontal="right" vertical="center"/>
    </xf>
    <xf numFmtId="219" fontId="21" fillId="0" borderId="0" xfId="20" applyNumberFormat="1" applyFont="1" applyFill="1" applyBorder="1" applyAlignment="1">
      <alignment horizontal="right" vertical="center"/>
    </xf>
    <xf numFmtId="222" fontId="21" fillId="0" borderId="0" xfId="20" applyNumberFormat="1" applyFont="1" applyFill="1" applyBorder="1" applyAlignment="1">
      <alignment horizontal="right" vertical="center"/>
    </xf>
    <xf numFmtId="179" fontId="21" fillId="0" borderId="0" xfId="289" applyNumberFormat="1" applyFont="1" applyFill="1" applyBorder="1" applyAlignment="1" applyProtection="1">
      <alignment horizontal="right" vertical="center" shrinkToFit="1"/>
    </xf>
    <xf numFmtId="179" fontId="21" fillId="0" borderId="0" xfId="20" applyNumberFormat="1" applyFont="1" applyFill="1" applyBorder="1" applyAlignment="1">
      <alignment horizontal="center" vertical="center"/>
    </xf>
    <xf numFmtId="0" fontId="25" fillId="0" borderId="19" xfId="11" applyNumberFormat="1" applyFont="1" applyFill="1" applyBorder="1" applyAlignment="1">
      <alignment horizontal="left" vertical="center"/>
    </xf>
    <xf numFmtId="182" fontId="21" fillId="0" borderId="0" xfId="289" applyNumberFormat="1" applyFont="1" applyFill="1" applyBorder="1" applyAlignment="1">
      <alignment horizontal="right" vertical="center"/>
    </xf>
    <xf numFmtId="41" fontId="24" fillId="0" borderId="0" xfId="20" applyNumberFormat="1" applyFont="1" applyFill="1" applyBorder="1" applyAlignment="1">
      <alignment horizontal="center" vertical="center"/>
    </xf>
    <xf numFmtId="3" fontId="53" fillId="0" borderId="0" xfId="272" applyNumberFormat="1" applyFill="1">
      <alignment vertical="center"/>
    </xf>
    <xf numFmtId="206" fontId="53" fillId="30" borderId="0" xfId="272" applyNumberFormat="1" applyFill="1">
      <alignment vertical="center"/>
    </xf>
    <xf numFmtId="41" fontId="53" fillId="0" borderId="0" xfId="272" applyNumberFormat="1">
      <alignment vertical="center"/>
    </xf>
    <xf numFmtId="0" fontId="25" fillId="0" borderId="16" xfId="10" applyNumberFormat="1" applyFont="1" applyFill="1" applyBorder="1" applyAlignment="1">
      <alignment horizontal="left" vertical="center"/>
    </xf>
    <xf numFmtId="41" fontId="21" fillId="0" borderId="25" xfId="9" applyNumberFormat="1" applyFont="1" applyFill="1" applyBorder="1">
      <alignment vertical="center"/>
    </xf>
    <xf numFmtId="218" fontId="21" fillId="0" borderId="54" xfId="9" applyNumberFormat="1" applyFont="1" applyFill="1" applyBorder="1" applyAlignment="1">
      <alignment horizontal="right" vertical="center"/>
    </xf>
    <xf numFmtId="178" fontId="21" fillId="0" borderId="26" xfId="1" applyNumberFormat="1" applyFont="1" applyFill="1" applyBorder="1" applyAlignment="1">
      <alignment horizontal="right" vertical="center"/>
    </xf>
    <xf numFmtId="178" fontId="21" fillId="0" borderId="0" xfId="106" applyNumberFormat="1" applyFont="1" applyFill="1" applyBorder="1" applyAlignment="1">
      <alignment horizontal="right" vertical="center"/>
    </xf>
    <xf numFmtId="225" fontId="21" fillId="0" borderId="0" xfId="289" applyNumberFormat="1" applyFont="1" applyFill="1" applyBorder="1" applyAlignment="1">
      <alignment horizontal="right" vertical="center" shrinkToFit="1"/>
    </xf>
    <xf numFmtId="178" fontId="24" fillId="29" borderId="33" xfId="260" applyNumberFormat="1" applyFont="1" applyFill="1" applyBorder="1" applyAlignment="1">
      <alignment horizontal="right" vertical="center"/>
    </xf>
    <xf numFmtId="178" fontId="24" fillId="29" borderId="32" xfId="260" applyNumberFormat="1" applyFont="1" applyFill="1" applyBorder="1" applyAlignment="1">
      <alignment horizontal="right" vertical="center"/>
    </xf>
    <xf numFmtId="178" fontId="21" fillId="29" borderId="32" xfId="260" applyNumberFormat="1" applyFont="1" applyFill="1" applyBorder="1" applyAlignment="1">
      <alignment horizontal="right" vertical="center"/>
    </xf>
    <xf numFmtId="178" fontId="24" fillId="29" borderId="39" xfId="260" applyNumberFormat="1" applyFont="1" applyFill="1" applyBorder="1" applyAlignment="1">
      <alignment horizontal="right" vertical="center"/>
    </xf>
    <xf numFmtId="41" fontId="24" fillId="29" borderId="33" xfId="20" applyNumberFormat="1" applyFont="1" applyFill="1" applyBorder="1" applyAlignment="1" applyProtection="1">
      <alignment vertical="center"/>
    </xf>
    <xf numFmtId="41" fontId="21" fillId="29" borderId="39" xfId="20" applyNumberFormat="1" applyFont="1" applyFill="1" applyBorder="1" applyAlignment="1" applyProtection="1">
      <alignment vertical="center"/>
    </xf>
    <xf numFmtId="178" fontId="24" fillId="29" borderId="32" xfId="260" applyNumberFormat="1" applyFont="1" applyFill="1" applyBorder="1" applyAlignment="1" applyProtection="1">
      <alignment horizontal="right" vertical="center"/>
    </xf>
    <xf numFmtId="178" fontId="24" fillId="29" borderId="34" xfId="260" applyNumberFormat="1" applyFont="1" applyFill="1" applyBorder="1" applyAlignment="1">
      <alignment horizontal="right" vertical="center"/>
    </xf>
    <xf numFmtId="206" fontId="21" fillId="29" borderId="32" xfId="260" applyNumberFormat="1" applyFont="1" applyFill="1" applyBorder="1" applyAlignment="1">
      <alignment vertical="center"/>
    </xf>
    <xf numFmtId="206" fontId="21" fillId="29" borderId="34" xfId="260" applyNumberFormat="1" applyFont="1" applyFill="1" applyBorder="1" applyAlignment="1">
      <alignment vertical="center"/>
    </xf>
    <xf numFmtId="206" fontId="24" fillId="29" borderId="32" xfId="260" applyNumberFormat="1" applyFont="1" applyFill="1" applyBorder="1" applyAlignment="1">
      <alignment vertical="center"/>
    </xf>
    <xf numFmtId="178" fontId="24" fillId="29" borderId="33" xfId="260" applyNumberFormat="1" applyFont="1" applyFill="1" applyBorder="1" applyAlignment="1">
      <alignment vertical="center"/>
    </xf>
    <xf numFmtId="178" fontId="24" fillId="29" borderId="34" xfId="260" applyNumberFormat="1" applyFont="1" applyFill="1" applyBorder="1" applyAlignment="1" applyProtection="1">
      <alignment vertical="center"/>
    </xf>
    <xf numFmtId="178" fontId="21" fillId="29" borderId="33" xfId="260" applyNumberFormat="1" applyFont="1" applyFill="1" applyBorder="1" applyAlignment="1" applyProtection="1">
      <alignment vertical="center"/>
    </xf>
    <xf numFmtId="41" fontId="23" fillId="29" borderId="19" xfId="9" applyNumberFormat="1" applyFont="1" applyFill="1" applyBorder="1">
      <alignment vertical="center"/>
    </xf>
    <xf numFmtId="218" fontId="23" fillId="29" borderId="16" xfId="9" applyNumberFormat="1" applyFont="1" applyFill="1" applyBorder="1" applyAlignment="1">
      <alignment horizontal="center" vertical="center"/>
    </xf>
    <xf numFmtId="41" fontId="24" fillId="29" borderId="19" xfId="9" applyNumberFormat="1" applyFont="1" applyFill="1" applyBorder="1" applyAlignment="1">
      <alignment horizontal="center" vertical="center"/>
    </xf>
    <xf numFmtId="218" fontId="24" fillId="29" borderId="16" xfId="9" applyNumberFormat="1" applyFont="1" applyFill="1" applyBorder="1" applyAlignment="1">
      <alignment horizontal="center" vertical="center"/>
    </xf>
    <xf numFmtId="41" fontId="21" fillId="29" borderId="19" xfId="9" applyNumberFormat="1" applyFont="1" applyFill="1" applyBorder="1">
      <alignment vertical="center"/>
    </xf>
    <xf numFmtId="218" fontId="21" fillId="29" borderId="16" xfId="9" applyNumberFormat="1" applyFont="1" applyFill="1" applyBorder="1" applyAlignment="1">
      <alignment horizontal="center" vertical="center"/>
    </xf>
    <xf numFmtId="41" fontId="21" fillId="29" borderId="22" xfId="9" applyNumberFormat="1" applyFont="1" applyFill="1" applyBorder="1">
      <alignment vertical="center"/>
    </xf>
    <xf numFmtId="218" fontId="21" fillId="29" borderId="22" xfId="9" applyNumberFormat="1" applyFont="1" applyFill="1" applyBorder="1" applyAlignment="1">
      <alignment horizontal="center" vertical="center"/>
    </xf>
    <xf numFmtId="41" fontId="21" fillId="29" borderId="19" xfId="9" quotePrefix="1" applyNumberFormat="1" applyFont="1" applyFill="1" applyBorder="1">
      <alignment vertical="center"/>
    </xf>
    <xf numFmtId="218" fontId="21" fillId="29" borderId="19" xfId="9" applyNumberFormat="1" applyFont="1" applyFill="1" applyBorder="1" applyAlignment="1">
      <alignment horizontal="center" vertical="center"/>
    </xf>
    <xf numFmtId="41" fontId="21" fillId="29" borderId="22" xfId="9" quotePrefix="1" applyNumberFormat="1" applyFont="1" applyFill="1" applyBorder="1">
      <alignment vertical="center"/>
    </xf>
    <xf numFmtId="218" fontId="21" fillId="29" borderId="23" xfId="9" applyNumberFormat="1" applyFont="1" applyFill="1" applyBorder="1" applyAlignment="1">
      <alignment horizontal="center" vertical="center"/>
    </xf>
    <xf numFmtId="218" fontId="24" fillId="29" borderId="19" xfId="9" applyNumberFormat="1" applyFont="1" applyFill="1" applyBorder="1" applyAlignment="1">
      <alignment horizontal="center" vertical="center"/>
    </xf>
    <xf numFmtId="41" fontId="21" fillId="29" borderId="19" xfId="9" applyNumberFormat="1" applyFont="1" applyFill="1" applyBorder="1" applyAlignment="1">
      <alignment horizontal="center" vertical="center"/>
    </xf>
    <xf numFmtId="41" fontId="21" fillId="29" borderId="23" xfId="9" applyNumberFormat="1" applyFont="1" applyFill="1" applyBorder="1">
      <alignment vertical="center"/>
    </xf>
    <xf numFmtId="41" fontId="24" fillId="29" borderId="19" xfId="9" applyNumberFormat="1" applyFont="1" applyFill="1" applyBorder="1">
      <alignment vertical="center"/>
    </xf>
    <xf numFmtId="41" fontId="21" fillId="29" borderId="16" xfId="9" applyNumberFormat="1" applyFont="1" applyFill="1" applyBorder="1" applyAlignment="1" applyProtection="1">
      <alignment vertical="center"/>
    </xf>
    <xf numFmtId="218" fontId="21" fillId="29" borderId="16" xfId="9" applyNumberFormat="1" applyFont="1" applyFill="1" applyBorder="1" applyAlignment="1" applyProtection="1">
      <alignment horizontal="center" vertical="center"/>
    </xf>
    <xf numFmtId="41" fontId="24" fillId="29" borderId="23" xfId="9" applyNumberFormat="1" applyFont="1" applyFill="1" applyBorder="1">
      <alignment vertical="center"/>
    </xf>
    <xf numFmtId="218" fontId="24" fillId="29" borderId="23" xfId="9" applyNumberFormat="1" applyFont="1" applyFill="1" applyBorder="1" applyAlignment="1">
      <alignment horizontal="center" vertical="center"/>
    </xf>
    <xf numFmtId="218" fontId="23" fillId="29" borderId="26" xfId="9" applyNumberFormat="1" applyFont="1" applyFill="1" applyBorder="1" applyAlignment="1">
      <alignment horizontal="center" vertical="center"/>
    </xf>
    <xf numFmtId="41" fontId="21" fillId="29" borderId="23" xfId="9" applyNumberFormat="1" applyFont="1" applyFill="1" applyBorder="1" applyAlignment="1">
      <alignment horizontal="center" vertical="center"/>
    </xf>
    <xf numFmtId="218" fontId="21" fillId="29" borderId="36" xfId="9" applyNumberFormat="1" applyFont="1" applyFill="1" applyBorder="1" applyAlignment="1">
      <alignment horizontal="center" vertical="center"/>
    </xf>
    <xf numFmtId="41" fontId="23" fillId="29" borderId="19" xfId="9" applyNumberFormat="1" applyFont="1" applyFill="1" applyBorder="1" applyAlignment="1">
      <alignment horizontal="center" vertical="center"/>
    </xf>
    <xf numFmtId="41" fontId="23" fillId="29" borderId="23" xfId="9" applyNumberFormat="1" applyFont="1" applyFill="1" applyBorder="1" applyAlignment="1">
      <alignment horizontal="center" vertical="center"/>
    </xf>
    <xf numFmtId="218" fontId="23" fillId="29" borderId="36" xfId="9" applyNumberFormat="1" applyFont="1" applyFill="1" applyBorder="1" applyAlignment="1">
      <alignment horizontal="center" vertical="center"/>
    </xf>
    <xf numFmtId="191" fontId="21" fillId="29" borderId="42" xfId="9" applyNumberFormat="1" applyFont="1" applyFill="1" applyBorder="1" applyAlignment="1">
      <alignment horizontal="right" vertical="center"/>
    </xf>
    <xf numFmtId="0" fontId="22" fillId="0" borderId="0" xfId="265" applyNumberFormat="1" applyFont="1" applyAlignment="1">
      <alignment horizontal="center" vertical="center"/>
    </xf>
    <xf numFmtId="0" fontId="24" fillId="25" borderId="17" xfId="10" applyNumberFormat="1" applyFont="1" applyFill="1" applyBorder="1" applyAlignment="1">
      <alignment horizontal="center" vertical="center" shrinkToFit="1"/>
    </xf>
    <xf numFmtId="0" fontId="24" fillId="25" borderId="26" xfId="10" applyNumberFormat="1" applyFont="1" applyFill="1" applyBorder="1" applyAlignment="1">
      <alignment horizontal="center" vertical="center" shrinkToFit="1"/>
    </xf>
    <xf numFmtId="0" fontId="24" fillId="25" borderId="16" xfId="10" applyNumberFormat="1" applyFont="1" applyFill="1" applyBorder="1" applyAlignment="1">
      <alignment horizontal="center" vertical="center"/>
    </xf>
    <xf numFmtId="41" fontId="24" fillId="25" borderId="23" xfId="9" quotePrefix="1" applyNumberFormat="1" applyFont="1" applyFill="1" applyBorder="1" applyAlignment="1">
      <alignment horizontal="right" vertical="center"/>
    </xf>
    <xf numFmtId="41" fontId="21" fillId="25" borderId="25" xfId="9" applyNumberFormat="1" applyFont="1" applyFill="1" applyBorder="1">
      <alignment vertical="center"/>
    </xf>
    <xf numFmtId="0" fontId="26" fillId="25" borderId="20" xfId="10" applyNumberFormat="1" applyFont="1" applyFill="1" applyBorder="1" applyAlignment="1">
      <alignment vertical="center"/>
    </xf>
    <xf numFmtId="0" fontId="24" fillId="25" borderId="24" xfId="10" applyNumberFormat="1" applyFont="1" applyFill="1" applyBorder="1" applyAlignment="1">
      <alignment horizontal="center" vertical="center" shrinkToFit="1"/>
    </xf>
    <xf numFmtId="0" fontId="24" fillId="25" borderId="42" xfId="10" applyNumberFormat="1" applyFont="1" applyFill="1" applyBorder="1" applyAlignment="1">
      <alignment horizontal="center" vertical="center" shrinkToFit="1"/>
    </xf>
    <xf numFmtId="41" fontId="24" fillId="25" borderId="24" xfId="9" applyNumberFormat="1" applyFont="1" applyFill="1" applyBorder="1">
      <alignment vertical="center"/>
    </xf>
    <xf numFmtId="0" fontId="24" fillId="0" borderId="17" xfId="106" applyNumberFormat="1" applyFont="1" applyFill="1" applyBorder="1" applyAlignment="1">
      <alignment horizontal="center" vertical="center"/>
    </xf>
    <xf numFmtId="0" fontId="24" fillId="0" borderId="26" xfId="106" applyNumberFormat="1" applyFont="1" applyFill="1" applyBorder="1" applyAlignment="1">
      <alignment horizontal="center" vertical="center"/>
    </xf>
    <xf numFmtId="0" fontId="21" fillId="0" borderId="23" xfId="106" applyNumberFormat="1" applyFont="1" applyFill="1" applyBorder="1" applyAlignment="1">
      <alignment horizontal="center" vertical="center"/>
    </xf>
    <xf numFmtId="177" fontId="21" fillId="0" borderId="0" xfId="11" applyNumberFormat="1" applyFont="1" applyFill="1" applyBorder="1" applyAlignment="1">
      <alignment horizontal="center" vertical="center"/>
    </xf>
    <xf numFmtId="177" fontId="21" fillId="0" borderId="31" xfId="11" applyNumberFormat="1" applyFont="1" applyFill="1" applyBorder="1" applyAlignment="1">
      <alignment horizontal="center" vertical="center"/>
    </xf>
    <xf numFmtId="177" fontId="21" fillId="0" borderId="2" xfId="11" applyNumberFormat="1" applyFont="1" applyFill="1" applyBorder="1" applyAlignment="1">
      <alignment horizontal="center" vertical="center"/>
    </xf>
    <xf numFmtId="41" fontId="53" fillId="0" borderId="19" xfId="96" applyNumberFormat="1" applyFont="1" applyFill="1" applyBorder="1" applyAlignment="1">
      <alignment horizontal="center" vertical="center" wrapText="1"/>
    </xf>
    <xf numFmtId="41" fontId="1" fillId="0" borderId="0" xfId="96" applyNumberFormat="1">
      <alignment vertical="center"/>
    </xf>
    <xf numFmtId="41" fontId="53" fillId="0" borderId="65" xfId="96" applyNumberFormat="1" applyFont="1" applyFill="1" applyBorder="1" applyAlignment="1">
      <alignment horizontal="center" vertical="center"/>
    </xf>
    <xf numFmtId="41" fontId="53" fillId="0" borderId="19" xfId="96" applyNumberFormat="1" applyFont="1" applyFill="1" applyBorder="1" applyAlignment="1">
      <alignment horizontal="center" vertical="center"/>
    </xf>
    <xf numFmtId="41" fontId="34" fillId="0" borderId="0" xfId="96" applyNumberFormat="1" applyFont="1" applyAlignment="1">
      <alignment vertical="center"/>
    </xf>
    <xf numFmtId="0" fontId="0" fillId="0" borderId="38" xfId="96" applyNumberFormat="1" applyFont="1" applyFill="1" applyBorder="1" applyAlignment="1">
      <alignment horizontal="center" vertical="center"/>
    </xf>
    <xf numFmtId="0" fontId="53" fillId="0" borderId="29" xfId="96" applyNumberFormat="1" applyFont="1" applyFill="1" applyBorder="1" applyAlignment="1">
      <alignment horizontal="center" vertical="center" wrapText="1"/>
    </xf>
    <xf numFmtId="41" fontId="53" fillId="0" borderId="29" xfId="96" applyNumberFormat="1" applyFont="1" applyFill="1" applyBorder="1" applyAlignment="1">
      <alignment horizontal="center" vertical="center" wrapText="1"/>
    </xf>
    <xf numFmtId="41" fontId="0" fillId="0" borderId="29" xfId="171" applyNumberFormat="1" applyFont="1" applyFill="1" applyBorder="1" applyAlignment="1">
      <alignment horizontal="center" vertical="center"/>
    </xf>
    <xf numFmtId="41" fontId="0" fillId="0" borderId="29" xfId="96" applyNumberFormat="1" applyFont="1" applyFill="1" applyBorder="1" applyAlignment="1">
      <alignment horizontal="center" vertical="center" wrapText="1"/>
    </xf>
    <xf numFmtId="41" fontId="0" fillId="0" borderId="29" xfId="96" applyNumberFormat="1" applyFont="1" applyFill="1" applyBorder="1" applyAlignment="1">
      <alignment horizontal="center" vertical="center"/>
    </xf>
    <xf numFmtId="41" fontId="0" fillId="0" borderId="82" xfId="96" applyNumberFormat="1" applyFont="1" applyBorder="1" applyAlignment="1">
      <alignment horizontal="center" vertical="center"/>
    </xf>
    <xf numFmtId="177" fontId="21" fillId="0" borderId="2" xfId="11" applyNumberFormat="1" applyFont="1" applyFill="1" applyBorder="1" applyAlignment="1">
      <alignment horizontal="center" vertical="center"/>
    </xf>
    <xf numFmtId="0" fontId="0" fillId="25" borderId="44" xfId="261" applyNumberFormat="1" applyFont="1" applyFill="1" applyBorder="1" applyAlignment="1">
      <alignment vertical="center"/>
    </xf>
    <xf numFmtId="190" fontId="23" fillId="25" borderId="51" xfId="261" applyNumberFormat="1" applyFont="1" applyFill="1" applyBorder="1" applyAlignment="1">
      <alignment horizontal="right" vertical="center"/>
    </xf>
    <xf numFmtId="206" fontId="24" fillId="25" borderId="51" xfId="261" quotePrefix="1" applyNumberFormat="1" applyFont="1" applyFill="1" applyBorder="1">
      <alignment vertical="center"/>
    </xf>
    <xf numFmtId="0" fontId="21" fillId="0" borderId="0" xfId="12" applyFont="1" applyBorder="1">
      <alignment vertical="center"/>
    </xf>
    <xf numFmtId="177" fontId="21" fillId="0" borderId="0" xfId="12" applyNumberFormat="1" applyFont="1" applyBorder="1" applyAlignment="1">
      <alignment horizontal="right" vertical="center"/>
    </xf>
    <xf numFmtId="38" fontId="21" fillId="0" borderId="0" xfId="289" applyNumberFormat="1" applyFont="1" applyBorder="1" applyAlignment="1">
      <alignment horizontal="center" vertical="center" shrinkToFit="1"/>
    </xf>
    <xf numFmtId="179" fontId="21" fillId="0" borderId="0" xfId="12" applyNumberFormat="1" applyFont="1" applyBorder="1" applyAlignment="1">
      <alignment horizontal="right" vertical="center"/>
    </xf>
    <xf numFmtId="177" fontId="21" fillId="0" borderId="0" xfId="12" applyNumberFormat="1" applyFont="1" applyBorder="1" applyAlignment="1">
      <alignment horizontal="center" vertical="center"/>
    </xf>
    <xf numFmtId="0" fontId="21" fillId="0" borderId="0" xfId="272" applyFont="1" applyBorder="1">
      <alignment vertical="center"/>
    </xf>
    <xf numFmtId="189" fontId="21" fillId="0" borderId="0" xfId="12" applyNumberFormat="1" applyFont="1" applyBorder="1" applyAlignment="1">
      <alignment horizontal="right" vertical="center"/>
    </xf>
    <xf numFmtId="0" fontId="21" fillId="0" borderId="0" xfId="11" applyFont="1" applyBorder="1" applyAlignment="1">
      <alignment horizontal="left" vertical="center"/>
    </xf>
    <xf numFmtId="177" fontId="21" fillId="0" borderId="0" xfId="11" applyNumberFormat="1" applyFont="1" applyBorder="1" applyAlignment="1">
      <alignment horizontal="right" vertical="center"/>
    </xf>
    <xf numFmtId="179" fontId="21" fillId="0" borderId="0" xfId="11" applyNumberFormat="1" applyFont="1" applyBorder="1" applyAlignment="1">
      <alignment horizontal="right" vertical="center"/>
    </xf>
    <xf numFmtId="177" fontId="21" fillId="0" borderId="0" xfId="11" applyNumberFormat="1" applyFont="1" applyBorder="1" applyAlignment="1">
      <alignment horizontal="center" vertical="center"/>
    </xf>
    <xf numFmtId="0" fontId="21" fillId="0" borderId="0" xfId="289" applyFont="1" applyBorder="1" applyAlignment="1">
      <alignment horizontal="center" vertical="center" shrinkToFit="1"/>
    </xf>
    <xf numFmtId="189" fontId="21" fillId="0" borderId="0" xfId="11" applyNumberFormat="1" applyFont="1" applyBorder="1" applyAlignment="1">
      <alignment horizontal="right" vertical="center"/>
    </xf>
    <xf numFmtId="38" fontId="21" fillId="0" borderId="0" xfId="272" applyNumberFormat="1" applyFont="1" applyBorder="1">
      <alignment vertical="center"/>
    </xf>
    <xf numFmtId="178" fontId="21" fillId="0" borderId="0" xfId="296" applyNumberFormat="1" applyFont="1" applyBorder="1" applyAlignment="1">
      <alignment horizontal="center" vertical="center" shrinkToFit="1"/>
    </xf>
    <xf numFmtId="0" fontId="21" fillId="0" borderId="0" xfId="296" applyFont="1" applyBorder="1" applyAlignment="1">
      <alignment horizontal="center" vertical="center" shrinkToFit="1"/>
    </xf>
    <xf numFmtId="0" fontId="21" fillId="0" borderId="0" xfId="298" applyFont="1" applyBorder="1">
      <alignment vertical="center"/>
    </xf>
    <xf numFmtId="41" fontId="1" fillId="0" borderId="0" xfId="176" applyNumberFormat="1" applyBorder="1"/>
    <xf numFmtId="178" fontId="21" fillId="0" borderId="0" xfId="298" applyNumberFormat="1" applyFont="1" applyBorder="1">
      <alignment vertical="center"/>
    </xf>
    <xf numFmtId="195" fontId="21" fillId="0" borderId="0" xfId="11" applyNumberFormat="1" applyFont="1" applyBorder="1">
      <alignment vertical="center"/>
    </xf>
    <xf numFmtId="177" fontId="21" fillId="0" borderId="0" xfId="298" applyNumberFormat="1" applyFont="1" applyBorder="1">
      <alignment vertical="center"/>
    </xf>
    <xf numFmtId="177" fontId="21" fillId="0" borderId="0" xfId="11" applyNumberFormat="1" applyFont="1" applyBorder="1">
      <alignment vertical="center"/>
    </xf>
    <xf numFmtId="9" fontId="21" fillId="0" borderId="0" xfId="11" applyNumberFormat="1" applyFont="1" applyBorder="1" applyAlignment="1">
      <alignment horizontal="right" vertical="center"/>
    </xf>
    <xf numFmtId="186" fontId="21" fillId="0" borderId="0" xfId="11" applyNumberFormat="1" applyFont="1" applyBorder="1" applyAlignment="1">
      <alignment horizontal="right" vertical="center"/>
    </xf>
    <xf numFmtId="9" fontId="21" fillId="0" borderId="0" xfId="12" applyNumberFormat="1" applyFont="1" applyBorder="1" applyAlignment="1">
      <alignment horizontal="right" vertical="center"/>
    </xf>
    <xf numFmtId="189" fontId="21" fillId="0" borderId="32" xfId="106" applyNumberFormat="1" applyFont="1" applyFill="1" applyBorder="1" applyAlignment="1" applyProtection="1">
      <alignment horizontal="center" vertical="center"/>
    </xf>
    <xf numFmtId="186" fontId="21" fillId="0" borderId="32" xfId="106" applyNumberFormat="1" applyFont="1" applyFill="1" applyBorder="1" applyAlignment="1">
      <alignment horizontal="right" vertical="center"/>
    </xf>
    <xf numFmtId="0" fontId="21" fillId="0" borderId="50" xfId="272" applyNumberFormat="1" applyFont="1" applyFill="1" applyBorder="1">
      <alignment vertical="center"/>
    </xf>
    <xf numFmtId="0" fontId="47" fillId="0" borderId="0" xfId="263" applyNumberFormat="1" applyFont="1" applyAlignment="1">
      <alignment horizontal="center" vertical="center"/>
    </xf>
    <xf numFmtId="0" fontId="48" fillId="0" borderId="0" xfId="263" applyNumberFormat="1" applyFont="1" applyAlignment="1">
      <alignment horizontal="center" vertical="center"/>
    </xf>
    <xf numFmtId="0" fontId="22" fillId="0" borderId="0" xfId="265" applyNumberFormat="1" applyFont="1" applyAlignment="1">
      <alignment horizontal="center" vertical="center"/>
    </xf>
    <xf numFmtId="14" fontId="24" fillId="0" borderId="67" xfId="10" applyNumberFormat="1" applyFont="1" applyFill="1" applyBorder="1" applyAlignment="1">
      <alignment horizontal="center" vertical="center" shrinkToFit="1"/>
    </xf>
    <xf numFmtId="14" fontId="24" fillId="0" borderId="57" xfId="10" applyNumberFormat="1" applyFont="1" applyFill="1" applyBorder="1" applyAlignment="1">
      <alignment horizontal="center" vertical="center" shrinkToFit="1"/>
    </xf>
    <xf numFmtId="14" fontId="24" fillId="0" borderId="58" xfId="10" applyNumberFormat="1" applyFont="1" applyFill="1" applyBorder="1" applyAlignment="1">
      <alignment horizontal="center" vertical="center" shrinkToFit="1"/>
    </xf>
    <xf numFmtId="14" fontId="24" fillId="0" borderId="72" xfId="10" applyNumberFormat="1" applyFont="1" applyFill="1" applyBorder="1" applyAlignment="1">
      <alignment horizontal="center" vertical="center" shrinkToFit="1"/>
    </xf>
    <xf numFmtId="14" fontId="24" fillId="0" borderId="13" xfId="10" applyNumberFormat="1" applyFont="1" applyFill="1" applyBorder="1" applyAlignment="1">
      <alignment horizontal="center" vertical="center" shrinkToFit="1"/>
    </xf>
    <xf numFmtId="41" fontId="24" fillId="0" borderId="61" xfId="9" applyNumberFormat="1" applyFont="1" applyFill="1" applyBorder="1" applyAlignment="1">
      <alignment horizontal="center" vertical="center" wrapText="1"/>
    </xf>
    <xf numFmtId="41" fontId="24" fillId="0" borderId="28" xfId="9" applyNumberFormat="1" applyFont="1" applyFill="1" applyBorder="1" applyAlignment="1">
      <alignment horizontal="center" vertical="center" wrapText="1"/>
    </xf>
    <xf numFmtId="41" fontId="24" fillId="0" borderId="13" xfId="9" applyNumberFormat="1" applyFont="1" applyFill="1" applyBorder="1" applyAlignment="1">
      <alignment horizontal="center" vertical="center" wrapText="1"/>
    </xf>
    <xf numFmtId="41" fontId="24" fillId="0" borderId="29" xfId="9" applyNumberFormat="1" applyFont="1" applyFill="1" applyBorder="1" applyAlignment="1">
      <alignment horizontal="center" vertical="center" wrapText="1"/>
    </xf>
    <xf numFmtId="14" fontId="24" fillId="0" borderId="53" xfId="9" applyNumberFormat="1" applyFont="1" applyFill="1" applyBorder="1" applyAlignment="1">
      <alignment horizontal="center" vertical="center" wrapText="1"/>
    </xf>
    <xf numFmtId="14" fontId="24" fillId="0" borderId="55" xfId="9" applyNumberFormat="1" applyFont="1" applyFill="1" applyBorder="1" applyAlignment="1">
      <alignment horizontal="center" vertical="center"/>
    </xf>
    <xf numFmtId="0" fontId="24" fillId="25" borderId="19" xfId="10" applyNumberFormat="1" applyFont="1" applyFill="1" applyBorder="1" applyAlignment="1">
      <alignment horizontal="center" vertical="center"/>
    </xf>
    <xf numFmtId="0" fontId="24" fillId="25" borderId="17" xfId="10" applyNumberFormat="1" applyFont="1" applyFill="1" applyBorder="1" applyAlignment="1">
      <alignment horizontal="center" vertical="center" shrinkToFit="1"/>
    </xf>
    <xf numFmtId="0" fontId="24" fillId="25" borderId="26" xfId="10" applyNumberFormat="1" applyFont="1" applyFill="1" applyBorder="1" applyAlignment="1">
      <alignment horizontal="center" vertical="center" shrinkToFit="1"/>
    </xf>
    <xf numFmtId="0" fontId="24" fillId="25" borderId="67" xfId="10" applyNumberFormat="1" applyFont="1" applyFill="1" applyBorder="1" applyAlignment="1">
      <alignment horizontal="center" vertical="center" shrinkToFit="1"/>
    </xf>
    <xf numFmtId="0" fontId="24" fillId="25" borderId="57" xfId="10" applyNumberFormat="1" applyFont="1" applyFill="1" applyBorder="1" applyAlignment="1">
      <alignment horizontal="center" vertical="center" shrinkToFit="1"/>
    </xf>
    <xf numFmtId="0" fontId="24" fillId="25" borderId="68" xfId="10" applyNumberFormat="1" applyFont="1" applyFill="1" applyBorder="1" applyAlignment="1">
      <alignment horizontal="center" vertical="center" shrinkToFit="1"/>
    </xf>
    <xf numFmtId="0" fontId="24" fillId="25" borderId="72" xfId="10" applyNumberFormat="1" applyFont="1" applyFill="1" applyBorder="1" applyAlignment="1">
      <alignment horizontal="center" vertical="center" shrinkToFit="1"/>
    </xf>
    <xf numFmtId="0" fontId="24" fillId="25" borderId="13" xfId="10" applyNumberFormat="1" applyFont="1" applyFill="1" applyBorder="1" applyAlignment="1">
      <alignment horizontal="center" vertical="center" shrinkToFit="1"/>
    </xf>
    <xf numFmtId="0" fontId="24" fillId="25" borderId="19" xfId="10" applyNumberFormat="1" applyFont="1" applyFill="1" applyBorder="1" applyAlignment="1">
      <alignment horizontal="center" vertical="center" shrinkToFit="1"/>
    </xf>
    <xf numFmtId="0" fontId="24" fillId="0" borderId="25" xfId="261" applyNumberFormat="1" applyFont="1" applyFill="1" applyBorder="1" applyAlignment="1">
      <alignment horizontal="center" vertical="center"/>
    </xf>
    <xf numFmtId="0" fontId="24" fillId="0" borderId="40" xfId="261" applyNumberFormat="1" applyFont="1" applyFill="1" applyBorder="1" applyAlignment="1">
      <alignment horizontal="center" vertical="center"/>
    </xf>
    <xf numFmtId="0" fontId="21" fillId="0" borderId="20" xfId="261" applyNumberFormat="1" applyFont="1" applyFill="1" applyBorder="1" applyAlignment="1">
      <alignment horizontal="center" vertical="center"/>
    </xf>
    <xf numFmtId="0" fontId="21" fillId="0" borderId="21" xfId="261" applyNumberFormat="1" applyFont="1" applyFill="1" applyBorder="1" applyAlignment="1">
      <alignment horizontal="center" vertical="center"/>
    </xf>
    <xf numFmtId="0" fontId="24" fillId="0" borderId="17" xfId="261" applyNumberFormat="1" applyFont="1" applyFill="1" applyBorder="1" applyAlignment="1">
      <alignment horizontal="center" vertical="center"/>
    </xf>
    <xf numFmtId="0" fontId="24" fillId="0" borderId="26" xfId="261" applyNumberFormat="1" applyFont="1" applyFill="1" applyBorder="1" applyAlignment="1">
      <alignment horizontal="center" vertical="center"/>
    </xf>
    <xf numFmtId="182" fontId="21" fillId="0" borderId="2" xfId="289" applyNumberFormat="1" applyFont="1" applyFill="1" applyBorder="1" applyAlignment="1">
      <alignment horizontal="right" vertical="center"/>
    </xf>
    <xf numFmtId="0" fontId="21" fillId="0" borderId="24" xfId="261" quotePrefix="1" applyNumberFormat="1" applyFont="1" applyFill="1" applyBorder="1" applyAlignment="1">
      <alignment horizontal="left" vertical="center" wrapText="1"/>
    </xf>
    <xf numFmtId="0" fontId="21" fillId="0" borderId="31" xfId="261" quotePrefix="1" applyNumberFormat="1" applyFont="1" applyFill="1" applyBorder="1" applyAlignment="1">
      <alignment horizontal="left" vertical="center" wrapText="1"/>
    </xf>
    <xf numFmtId="0" fontId="21" fillId="0" borderId="17" xfId="261" quotePrefix="1" applyNumberFormat="1" applyFont="1" applyFill="1" applyBorder="1" applyAlignment="1">
      <alignment horizontal="left" vertical="center" wrapText="1"/>
    </xf>
    <xf numFmtId="0" fontId="21" fillId="0" borderId="2" xfId="261" quotePrefix="1" applyNumberFormat="1" applyFont="1" applyFill="1" applyBorder="1" applyAlignment="1">
      <alignment horizontal="left" vertical="center" wrapText="1"/>
    </xf>
    <xf numFmtId="0" fontId="24" fillId="0" borderId="17" xfId="261" applyNumberFormat="1" applyFont="1" applyFill="1" applyBorder="1" applyAlignment="1">
      <alignment horizontal="center" vertical="center" shrinkToFit="1"/>
    </xf>
    <xf numFmtId="0" fontId="24" fillId="0" borderId="26" xfId="261" applyNumberFormat="1" applyFont="1" applyFill="1" applyBorder="1" applyAlignment="1">
      <alignment horizontal="center" vertical="center" shrinkToFit="1"/>
    </xf>
    <xf numFmtId="0" fontId="21" fillId="0" borderId="41" xfId="261" quotePrefix="1" applyNumberFormat="1" applyFont="1" applyFill="1" applyBorder="1" applyAlignment="1">
      <alignment horizontal="left" vertical="center"/>
    </xf>
    <xf numFmtId="0" fontId="21" fillId="0" borderId="0" xfId="261" quotePrefix="1" applyNumberFormat="1" applyFont="1" applyFill="1" applyBorder="1" applyAlignment="1">
      <alignment horizontal="left" vertical="center"/>
    </xf>
    <xf numFmtId="41" fontId="46" fillId="25" borderId="83" xfId="9" applyNumberFormat="1" applyFont="1" applyFill="1" applyBorder="1" applyAlignment="1">
      <alignment horizontal="center" vertical="center" shrinkToFit="1"/>
    </xf>
    <xf numFmtId="41" fontId="46" fillId="25" borderId="70" xfId="9" applyNumberFormat="1" applyFont="1" applyFill="1" applyBorder="1" applyAlignment="1">
      <alignment horizontal="center" vertical="center" shrinkToFit="1"/>
    </xf>
    <xf numFmtId="41" fontId="46" fillId="25" borderId="71" xfId="9" applyNumberFormat="1" applyFont="1" applyFill="1" applyBorder="1" applyAlignment="1">
      <alignment horizontal="center" vertical="center" shrinkToFit="1"/>
    </xf>
    <xf numFmtId="0" fontId="24" fillId="0" borderId="67" xfId="261" applyNumberFormat="1" applyFont="1" applyFill="1" applyBorder="1" applyAlignment="1">
      <alignment horizontal="center" vertical="center" shrinkToFit="1"/>
    </xf>
    <xf numFmtId="0" fontId="24" fillId="0" borderId="57" xfId="261" applyNumberFormat="1" applyFont="1" applyFill="1" applyBorder="1" applyAlignment="1">
      <alignment horizontal="center" vertical="center" shrinkToFit="1"/>
    </xf>
    <xf numFmtId="0" fontId="24" fillId="0" borderId="68" xfId="261" applyNumberFormat="1" applyFont="1" applyFill="1" applyBorder="1" applyAlignment="1">
      <alignment horizontal="center" vertical="center" shrinkToFit="1"/>
    </xf>
    <xf numFmtId="14" fontId="24" fillId="0" borderId="61" xfId="9" applyNumberFormat="1" applyFont="1" applyFill="1" applyBorder="1" applyAlignment="1">
      <alignment horizontal="center" vertical="center" wrapText="1"/>
    </xf>
    <xf numFmtId="14" fontId="24" fillId="0" borderId="28" xfId="9" applyNumberFormat="1" applyFont="1" applyFill="1" applyBorder="1" applyAlignment="1">
      <alignment horizontal="center" vertical="center" wrapText="1"/>
    </xf>
    <xf numFmtId="0" fontId="24" fillId="0" borderId="69" xfId="261" applyNumberFormat="1" applyFont="1" applyFill="1" applyBorder="1" applyAlignment="1">
      <alignment horizontal="center" vertical="center"/>
    </xf>
    <xf numFmtId="0" fontId="24" fillId="0" borderId="70" xfId="261" applyNumberFormat="1" applyFont="1" applyFill="1" applyBorder="1" applyAlignment="1">
      <alignment horizontal="center" vertical="center"/>
    </xf>
    <xf numFmtId="0" fontId="24" fillId="0" borderId="71" xfId="261" applyNumberFormat="1" applyFont="1" applyFill="1" applyBorder="1" applyAlignment="1">
      <alignment horizontal="center" vertical="center"/>
    </xf>
    <xf numFmtId="0" fontId="24" fillId="0" borderId="50" xfId="261" applyNumberFormat="1" applyFont="1" applyFill="1" applyBorder="1" applyAlignment="1">
      <alignment horizontal="center" vertical="center"/>
    </xf>
    <xf numFmtId="0" fontId="24" fillId="0" borderId="12" xfId="261" applyNumberFormat="1" applyFont="1" applyFill="1" applyBorder="1" applyAlignment="1">
      <alignment horizontal="center" vertical="center"/>
    </xf>
    <xf numFmtId="0" fontId="24" fillId="0" borderId="51" xfId="261" applyNumberFormat="1" applyFont="1" applyFill="1" applyBorder="1" applyAlignment="1">
      <alignment horizontal="center" vertical="center"/>
    </xf>
    <xf numFmtId="0" fontId="24" fillId="0" borderId="2" xfId="140" applyNumberFormat="1" applyFont="1" applyFill="1" applyBorder="1" applyAlignment="1">
      <alignment horizontal="center" vertical="center" shrinkToFit="1"/>
    </xf>
    <xf numFmtId="0" fontId="24" fillId="0" borderId="26" xfId="140" applyNumberFormat="1" applyFont="1" applyFill="1" applyBorder="1" applyAlignment="1">
      <alignment horizontal="center" vertical="center" shrinkToFit="1"/>
    </xf>
    <xf numFmtId="0" fontId="24" fillId="0" borderId="17" xfId="106" applyNumberFormat="1" applyFont="1" applyFill="1" applyBorder="1" applyAlignment="1">
      <alignment horizontal="center" vertical="center"/>
    </xf>
    <xf numFmtId="0" fontId="24" fillId="0" borderId="26" xfId="106" applyNumberFormat="1" applyFont="1" applyFill="1" applyBorder="1" applyAlignment="1">
      <alignment horizontal="center" vertical="center"/>
    </xf>
    <xf numFmtId="0" fontId="24" fillId="0" borderId="67" xfId="12" applyNumberFormat="1" applyFont="1" applyFill="1" applyBorder="1" applyAlignment="1">
      <alignment horizontal="center" vertical="center"/>
    </xf>
    <xf numFmtId="0" fontId="24" fillId="0" borderId="57" xfId="12" applyNumberFormat="1" applyFont="1" applyFill="1" applyBorder="1" applyAlignment="1">
      <alignment horizontal="center" vertical="center"/>
    </xf>
    <xf numFmtId="0" fontId="24" fillId="0" borderId="68" xfId="12" applyNumberFormat="1" applyFont="1" applyFill="1" applyBorder="1" applyAlignment="1">
      <alignment horizontal="center" vertical="center"/>
    </xf>
    <xf numFmtId="0" fontId="24" fillId="0" borderId="17" xfId="12" applyNumberFormat="1" applyFont="1" applyFill="1" applyBorder="1" applyAlignment="1">
      <alignment horizontal="center" vertical="center"/>
    </xf>
    <xf numFmtId="0" fontId="24" fillId="0" borderId="26" xfId="12" applyNumberFormat="1" applyFont="1" applyFill="1" applyBorder="1" applyAlignment="1">
      <alignment horizontal="center" vertical="center"/>
    </xf>
    <xf numFmtId="0" fontId="21" fillId="0" borderId="23" xfId="106" applyNumberFormat="1" applyFont="1" applyFill="1" applyBorder="1" applyAlignment="1">
      <alignment horizontal="center" vertical="center"/>
    </xf>
    <xf numFmtId="0" fontId="24" fillId="0" borderId="17" xfId="11" applyNumberFormat="1" applyFont="1" applyFill="1" applyBorder="1" applyAlignment="1">
      <alignment horizontal="center" vertical="center"/>
    </xf>
    <xf numFmtId="0" fontId="24" fillId="0" borderId="26" xfId="11" applyNumberFormat="1" applyFont="1" applyFill="1" applyBorder="1" applyAlignment="1">
      <alignment horizontal="center" vertical="center"/>
    </xf>
    <xf numFmtId="41" fontId="46" fillId="0" borderId="73" xfId="1" applyNumberFormat="1" applyFont="1" applyFill="1" applyBorder="1" applyAlignment="1">
      <alignment horizontal="center" vertical="center" shrinkToFit="1"/>
    </xf>
    <xf numFmtId="0" fontId="24" fillId="0" borderId="67" xfId="11" applyNumberFormat="1" applyFont="1" applyFill="1" applyBorder="1" applyAlignment="1">
      <alignment horizontal="center" vertical="center" shrinkToFit="1"/>
    </xf>
    <xf numFmtId="0" fontId="24" fillId="0" borderId="57" xfId="11" applyNumberFormat="1" applyFont="1" applyFill="1" applyBorder="1" applyAlignment="1">
      <alignment horizontal="center" vertical="center" shrinkToFit="1"/>
    </xf>
    <xf numFmtId="0" fontId="24" fillId="0" borderId="68" xfId="11" applyNumberFormat="1" applyFont="1" applyFill="1" applyBorder="1" applyAlignment="1">
      <alignment horizontal="center" vertical="center" shrinkToFit="1"/>
    </xf>
    <xf numFmtId="14" fontId="24" fillId="0" borderId="69" xfId="9" applyNumberFormat="1" applyFont="1" applyFill="1" applyBorder="1" applyAlignment="1">
      <alignment horizontal="center" vertical="center" wrapText="1"/>
    </xf>
    <xf numFmtId="14" fontId="24" fillId="0" borderId="50" xfId="9" applyNumberFormat="1" applyFont="1" applyFill="1" applyBorder="1" applyAlignment="1">
      <alignment horizontal="center" vertical="center"/>
    </xf>
    <xf numFmtId="0" fontId="24" fillId="0" borderId="69" xfId="11" applyNumberFormat="1" applyFont="1" applyFill="1" applyBorder="1" applyAlignment="1">
      <alignment horizontal="center" vertical="center"/>
    </xf>
    <xf numFmtId="0" fontId="24" fillId="0" borderId="70" xfId="11" applyNumberFormat="1" applyFont="1" applyFill="1" applyBorder="1" applyAlignment="1">
      <alignment horizontal="center" vertical="center"/>
    </xf>
    <xf numFmtId="0" fontId="24" fillId="0" borderId="71" xfId="11" applyNumberFormat="1" applyFont="1" applyFill="1" applyBorder="1" applyAlignment="1">
      <alignment horizontal="center" vertical="center"/>
    </xf>
    <xf numFmtId="0" fontId="24" fillId="0" borderId="50" xfId="11" applyNumberFormat="1" applyFont="1" applyFill="1" applyBorder="1" applyAlignment="1">
      <alignment horizontal="center" vertical="center"/>
    </xf>
    <xf numFmtId="0" fontId="24" fillId="0" borderId="12" xfId="11" applyNumberFormat="1" applyFont="1" applyFill="1" applyBorder="1" applyAlignment="1">
      <alignment horizontal="center" vertical="center"/>
    </xf>
    <xf numFmtId="0" fontId="24" fillId="0" borderId="51" xfId="11" applyNumberFormat="1" applyFont="1" applyFill="1" applyBorder="1" applyAlignment="1">
      <alignment horizontal="center" vertical="center"/>
    </xf>
    <xf numFmtId="182" fontId="21" fillId="0" borderId="0" xfId="289" applyNumberFormat="1" applyFont="1" applyFill="1" applyBorder="1" applyAlignment="1">
      <alignment horizontal="center" vertical="center"/>
    </xf>
    <xf numFmtId="177" fontId="21" fillId="0" borderId="0" xfId="11" applyNumberFormat="1" applyFont="1" applyFill="1" applyBorder="1" applyAlignment="1">
      <alignment horizontal="center" vertical="center"/>
    </xf>
    <xf numFmtId="224" fontId="21" fillId="0" borderId="0" xfId="289" applyNumberFormat="1" applyFont="1" applyFill="1" applyBorder="1" applyAlignment="1">
      <alignment horizontal="center" vertical="center"/>
    </xf>
    <xf numFmtId="177" fontId="21" fillId="0" borderId="31" xfId="11" applyNumberFormat="1" applyFont="1" applyFill="1" applyBorder="1" applyAlignment="1">
      <alignment horizontal="center" vertical="center"/>
    </xf>
    <xf numFmtId="182" fontId="21" fillId="0" borderId="31" xfId="289" applyNumberFormat="1" applyFont="1" applyFill="1" applyBorder="1" applyAlignment="1">
      <alignment horizontal="center" vertical="center"/>
    </xf>
    <xf numFmtId="177" fontId="21" fillId="0" borderId="2" xfId="165" applyNumberFormat="1" applyFont="1" applyFill="1" applyBorder="1" applyAlignment="1">
      <alignment horizontal="center" vertical="center"/>
    </xf>
    <xf numFmtId="41" fontId="46" fillId="0" borderId="0" xfId="9" applyNumberFormat="1" applyFont="1" applyFill="1" applyBorder="1" applyAlignment="1">
      <alignment horizontal="center" vertical="center" shrinkToFit="1"/>
    </xf>
    <xf numFmtId="0" fontId="24" fillId="0" borderId="72" xfId="11" applyNumberFormat="1" applyFont="1" applyFill="1" applyBorder="1" applyAlignment="1">
      <alignment horizontal="center" vertical="center" shrinkToFit="1"/>
    </xf>
    <xf numFmtId="0" fontId="24" fillId="0" borderId="13" xfId="11" applyNumberFormat="1" applyFont="1" applyFill="1" applyBorder="1" applyAlignment="1">
      <alignment horizontal="center" vertical="center" shrinkToFit="1"/>
    </xf>
    <xf numFmtId="200" fontId="21" fillId="0" borderId="31" xfId="289" applyNumberFormat="1" applyFont="1" applyFill="1" applyBorder="1" applyAlignment="1">
      <alignment horizontal="center" vertical="center" shrinkToFit="1"/>
    </xf>
    <xf numFmtId="0" fontId="24" fillId="0" borderId="25" xfId="11" applyNumberFormat="1" applyFont="1" applyFill="1" applyBorder="1" applyAlignment="1">
      <alignment horizontal="center" vertical="center"/>
    </xf>
    <xf numFmtId="0" fontId="24" fillId="0" borderId="40" xfId="11" applyNumberFormat="1" applyFont="1" applyFill="1" applyBorder="1" applyAlignment="1">
      <alignment horizontal="center" vertical="center"/>
    </xf>
    <xf numFmtId="200" fontId="21" fillId="0" borderId="0" xfId="289" applyNumberFormat="1" applyFont="1" applyFill="1" applyBorder="1" applyAlignment="1">
      <alignment horizontal="center" vertical="center" shrinkToFit="1"/>
    </xf>
    <xf numFmtId="204" fontId="21" fillId="0" borderId="0" xfId="289" applyNumberFormat="1" applyFont="1" applyFill="1" applyBorder="1" applyAlignment="1">
      <alignment horizontal="center" vertical="center" shrinkToFit="1"/>
    </xf>
    <xf numFmtId="200" fontId="21" fillId="0" borderId="2" xfId="289" applyNumberFormat="1" applyFont="1" applyFill="1" applyBorder="1" applyAlignment="1">
      <alignment horizontal="center" vertical="center" shrinkToFit="1"/>
    </xf>
    <xf numFmtId="201" fontId="21" fillId="0" borderId="0" xfId="289" applyNumberFormat="1" applyFont="1" applyFill="1" applyBorder="1" applyAlignment="1">
      <alignment horizontal="left" vertical="center" shrinkToFit="1"/>
    </xf>
    <xf numFmtId="215" fontId="21" fillId="0" borderId="0" xfId="289" applyNumberFormat="1" applyFont="1" applyFill="1" applyBorder="1" applyAlignment="1">
      <alignment horizontal="center" vertical="center" shrinkToFit="1"/>
    </xf>
    <xf numFmtId="200" fontId="21" fillId="0" borderId="45" xfId="289" applyNumberFormat="1" applyFont="1" applyFill="1" applyBorder="1" applyAlignment="1">
      <alignment horizontal="center" vertical="center" shrinkToFit="1"/>
    </xf>
    <xf numFmtId="200" fontId="21" fillId="0" borderId="37" xfId="289" applyNumberFormat="1" applyFont="1" applyFill="1" applyBorder="1" applyAlignment="1">
      <alignment horizontal="center" vertical="center" shrinkToFit="1"/>
    </xf>
    <xf numFmtId="177" fontId="21" fillId="0" borderId="2" xfId="11" applyNumberFormat="1" applyFont="1" applyFill="1" applyBorder="1" applyAlignment="1">
      <alignment horizontal="center" vertical="center"/>
    </xf>
    <xf numFmtId="14" fontId="24" fillId="0" borderId="28" xfId="9" applyNumberFormat="1" applyFont="1" applyFill="1" applyBorder="1" applyAlignment="1">
      <alignment horizontal="center" vertical="center"/>
    </xf>
    <xf numFmtId="0" fontId="24" fillId="0" borderId="21" xfId="20" applyNumberFormat="1" applyFont="1" applyFill="1" applyBorder="1" applyAlignment="1">
      <alignment horizontal="center" vertical="center"/>
    </xf>
    <xf numFmtId="0" fontId="24" fillId="0" borderId="23" xfId="20" applyNumberFormat="1" applyFont="1" applyFill="1" applyBorder="1" applyAlignment="1">
      <alignment horizontal="center" vertical="center"/>
    </xf>
    <xf numFmtId="0" fontId="24" fillId="0" borderId="17" xfId="20" applyNumberFormat="1" applyFont="1" applyFill="1" applyBorder="1" applyAlignment="1">
      <alignment horizontal="center" vertical="center"/>
    </xf>
    <xf numFmtId="0" fontId="24" fillId="0" borderId="26" xfId="20" applyNumberFormat="1" applyFont="1" applyFill="1" applyBorder="1" applyAlignment="1">
      <alignment horizontal="center" vertical="center"/>
    </xf>
    <xf numFmtId="0" fontId="24" fillId="0" borderId="67" xfId="20" applyNumberFormat="1" applyFont="1" applyFill="1" applyBorder="1" applyAlignment="1">
      <alignment horizontal="center" vertical="center" shrinkToFit="1"/>
    </xf>
    <xf numFmtId="0" fontId="24" fillId="0" borderId="57" xfId="20" applyNumberFormat="1" applyFont="1" applyFill="1" applyBorder="1" applyAlignment="1">
      <alignment horizontal="center" vertical="center" shrinkToFit="1"/>
    </xf>
    <xf numFmtId="0" fontId="24" fillId="0" borderId="68" xfId="20" applyNumberFormat="1" applyFont="1" applyFill="1" applyBorder="1" applyAlignment="1">
      <alignment horizontal="center" vertical="center" shrinkToFit="1"/>
    </xf>
    <xf numFmtId="0" fontId="24" fillId="0" borderId="69" xfId="20" applyNumberFormat="1" applyFont="1" applyFill="1" applyBorder="1" applyAlignment="1">
      <alignment horizontal="center" vertical="center"/>
    </xf>
    <xf numFmtId="0" fontId="24" fillId="0" borderId="70" xfId="20" applyNumberFormat="1" applyFont="1" applyFill="1" applyBorder="1" applyAlignment="1">
      <alignment horizontal="center" vertical="center"/>
    </xf>
    <xf numFmtId="0" fontId="24" fillId="0" borderId="71" xfId="20" applyNumberFormat="1" applyFont="1" applyFill="1" applyBorder="1" applyAlignment="1">
      <alignment horizontal="center" vertical="center"/>
    </xf>
    <xf numFmtId="0" fontId="24" fillId="0" borderId="50" xfId="20" applyNumberFormat="1" applyFont="1" applyFill="1" applyBorder="1" applyAlignment="1">
      <alignment horizontal="center" vertical="center"/>
    </xf>
    <xf numFmtId="0" fontId="24" fillId="0" borderId="12" xfId="20" applyNumberFormat="1" applyFont="1" applyFill="1" applyBorder="1" applyAlignment="1">
      <alignment horizontal="center" vertical="center"/>
    </xf>
    <xf numFmtId="0" fontId="24" fillId="0" borderId="51" xfId="20" applyNumberFormat="1" applyFont="1" applyFill="1" applyBorder="1" applyAlignment="1">
      <alignment horizontal="center" vertical="center"/>
    </xf>
    <xf numFmtId="0" fontId="24" fillId="0" borderId="74" xfId="260" applyNumberFormat="1" applyFont="1" applyFill="1" applyBorder="1" applyAlignment="1">
      <alignment horizontal="center" vertical="center"/>
    </xf>
    <xf numFmtId="0" fontId="24" fillId="0" borderId="37" xfId="260" applyNumberFormat="1" applyFont="1" applyFill="1" applyBorder="1" applyAlignment="1">
      <alignment horizontal="center" vertical="center"/>
    </xf>
    <xf numFmtId="0" fontId="24" fillId="0" borderId="40" xfId="260" applyNumberFormat="1" applyFont="1" applyFill="1" applyBorder="1" applyAlignment="1">
      <alignment horizontal="center" vertical="center"/>
    </xf>
    <xf numFmtId="0" fontId="24" fillId="0" borderId="17" xfId="260" applyNumberFormat="1" applyFont="1" applyFill="1" applyBorder="1" applyAlignment="1">
      <alignment horizontal="center" vertical="center"/>
    </xf>
    <xf numFmtId="0" fontId="24" fillId="0" borderId="26" xfId="260" applyNumberFormat="1" applyFont="1" applyFill="1" applyBorder="1" applyAlignment="1">
      <alignment horizontal="center" vertical="center"/>
    </xf>
    <xf numFmtId="0" fontId="21" fillId="0" borderId="20" xfId="260" applyNumberFormat="1" applyFont="1" applyFill="1" applyBorder="1" applyAlignment="1">
      <alignment horizontal="center" vertical="center"/>
    </xf>
    <xf numFmtId="0" fontId="21" fillId="0" borderId="21" xfId="260" applyNumberFormat="1" applyFont="1" applyFill="1" applyBorder="1" applyAlignment="1">
      <alignment horizontal="center" vertical="center"/>
    </xf>
    <xf numFmtId="0" fontId="24" fillId="0" borderId="67" xfId="260" applyNumberFormat="1" applyFont="1" applyFill="1" applyBorder="1" applyAlignment="1">
      <alignment horizontal="center" vertical="center" shrinkToFit="1"/>
    </xf>
    <xf numFmtId="0" fontId="24" fillId="0" borderId="57" xfId="260" applyNumberFormat="1" applyFont="1" applyFill="1" applyBorder="1" applyAlignment="1">
      <alignment horizontal="center" vertical="center" shrinkToFit="1"/>
    </xf>
    <xf numFmtId="0" fontId="24" fillId="0" borderId="68" xfId="260" applyNumberFormat="1" applyFont="1" applyFill="1" applyBorder="1" applyAlignment="1">
      <alignment horizontal="center" vertical="center" shrinkToFit="1"/>
    </xf>
    <xf numFmtId="0" fontId="24" fillId="0" borderId="69" xfId="260" applyNumberFormat="1" applyFont="1" applyFill="1" applyBorder="1" applyAlignment="1">
      <alignment horizontal="center" vertical="center"/>
    </xf>
    <xf numFmtId="0" fontId="24" fillId="0" borderId="70" xfId="260" applyNumberFormat="1" applyFont="1" applyFill="1" applyBorder="1" applyAlignment="1">
      <alignment horizontal="center" vertical="center"/>
    </xf>
    <xf numFmtId="0" fontId="24" fillId="0" borderId="71" xfId="260" applyNumberFormat="1" applyFont="1" applyFill="1" applyBorder="1" applyAlignment="1">
      <alignment horizontal="center" vertical="center"/>
    </xf>
    <xf numFmtId="0" fontId="24" fillId="0" borderId="50" xfId="260" applyNumberFormat="1" applyFont="1" applyFill="1" applyBorder="1" applyAlignment="1">
      <alignment horizontal="center" vertical="center"/>
    </xf>
    <xf numFmtId="0" fontId="24" fillId="0" borderId="12" xfId="260" applyNumberFormat="1" applyFont="1" applyFill="1" applyBorder="1" applyAlignment="1">
      <alignment horizontal="center" vertical="center"/>
    </xf>
    <xf numFmtId="0" fontId="24" fillId="0" borderId="51" xfId="260" applyNumberFormat="1" applyFont="1" applyFill="1" applyBorder="1" applyAlignment="1">
      <alignment horizontal="center" vertical="center"/>
    </xf>
    <xf numFmtId="0" fontId="49" fillId="0" borderId="0" xfId="96" applyNumberFormat="1" applyFont="1" applyAlignment="1">
      <alignment horizontal="center" wrapText="1"/>
    </xf>
    <xf numFmtId="0" fontId="50" fillId="0" borderId="0" xfId="96" applyNumberFormat="1" applyFont="1" applyAlignment="1">
      <alignment horizontal="center"/>
    </xf>
    <xf numFmtId="55" fontId="12" fillId="8" borderId="75" xfId="96" applyNumberFormat="1" applyFont="1" applyFill="1" applyBorder="1" applyAlignment="1">
      <alignment horizontal="center" vertical="center"/>
    </xf>
    <xf numFmtId="55" fontId="12" fillId="8" borderId="76" xfId="96" applyNumberFormat="1" applyFont="1" applyFill="1" applyBorder="1" applyAlignment="1">
      <alignment horizontal="center" vertical="center"/>
    </xf>
    <xf numFmtId="0" fontId="12" fillId="8" borderId="61" xfId="96" applyNumberFormat="1" applyFont="1" applyFill="1" applyBorder="1" applyAlignment="1">
      <alignment horizontal="center" vertical="center" wrapText="1"/>
    </xf>
    <xf numFmtId="0" fontId="12" fillId="8" borderId="77" xfId="96" applyNumberFormat="1" applyFont="1" applyFill="1" applyBorder="1" applyAlignment="1">
      <alignment horizontal="center" vertical="center" wrapText="1"/>
    </xf>
    <xf numFmtId="0" fontId="12" fillId="8" borderId="61" xfId="96" applyNumberFormat="1" applyFont="1" applyFill="1" applyBorder="1" applyAlignment="1">
      <alignment horizontal="center" vertical="center"/>
    </xf>
    <xf numFmtId="0" fontId="12" fillId="8" borderId="77" xfId="96" applyNumberFormat="1" applyFont="1" applyFill="1" applyBorder="1" applyAlignment="1">
      <alignment horizontal="center" vertical="center"/>
    </xf>
    <xf numFmtId="41" fontId="12" fillId="8" borderId="61" xfId="171" applyNumberFormat="1" applyFont="1" applyFill="1" applyBorder="1" applyAlignment="1">
      <alignment horizontal="center" vertical="center"/>
    </xf>
    <xf numFmtId="41" fontId="12" fillId="8" borderId="77" xfId="171" applyNumberFormat="1" applyFont="1" applyFill="1" applyBorder="1" applyAlignment="1">
      <alignment horizontal="center" vertical="center"/>
    </xf>
    <xf numFmtId="0" fontId="12" fillId="8" borderId="70" xfId="96" applyNumberFormat="1" applyFont="1" applyFill="1" applyBorder="1" applyAlignment="1">
      <alignment horizontal="center" vertical="center"/>
    </xf>
    <xf numFmtId="0" fontId="12" fillId="8" borderId="59" xfId="96" applyNumberFormat="1" applyFont="1" applyFill="1" applyBorder="1" applyAlignment="1">
      <alignment horizontal="center" vertical="center"/>
    </xf>
    <xf numFmtId="0" fontId="12" fillId="8" borderId="71" xfId="96" applyNumberFormat="1" applyFont="1" applyFill="1" applyBorder="1" applyAlignment="1">
      <alignment horizontal="center" vertical="center" wrapText="1"/>
    </xf>
    <xf numFmtId="0" fontId="12" fillId="8" borderId="78" xfId="96" applyNumberFormat="1" applyFont="1" applyFill="1" applyBorder="1" applyAlignment="1">
      <alignment horizontal="center" vertical="center"/>
    </xf>
    <xf numFmtId="0" fontId="24" fillId="28" borderId="17" xfId="163" applyNumberFormat="1" applyFont="1" applyFill="1" applyBorder="1" applyAlignment="1">
      <alignment horizontal="center" vertical="center"/>
    </xf>
    <xf numFmtId="0" fontId="24" fillId="28" borderId="26" xfId="163" applyNumberFormat="1" applyFont="1" applyFill="1" applyBorder="1" applyAlignment="1">
      <alignment horizontal="center" vertical="center"/>
    </xf>
    <xf numFmtId="0" fontId="24" fillId="27" borderId="74" xfId="163" applyNumberFormat="1" applyFont="1" applyFill="1" applyBorder="1" applyAlignment="1">
      <alignment horizontal="center" vertical="center"/>
    </xf>
    <xf numFmtId="0" fontId="24" fillId="27" borderId="37" xfId="163" applyNumberFormat="1" applyFont="1" applyFill="1" applyBorder="1" applyAlignment="1">
      <alignment horizontal="center" vertical="center"/>
    </xf>
    <xf numFmtId="0" fontId="24" fillId="27" borderId="40" xfId="163" applyNumberFormat="1" applyFont="1" applyFill="1" applyBorder="1" applyAlignment="1">
      <alignment horizontal="center" vertical="center"/>
    </xf>
    <xf numFmtId="0" fontId="24" fillId="28" borderId="40" xfId="163" applyNumberFormat="1" applyFont="1" applyFill="1" applyBorder="1" applyAlignment="1">
      <alignment horizontal="center" vertical="center"/>
    </xf>
    <xf numFmtId="0" fontId="24" fillId="28" borderId="16" xfId="163" applyNumberFormat="1" applyFont="1" applyFill="1" applyBorder="1" applyAlignment="1">
      <alignment horizontal="center" vertical="center"/>
    </xf>
    <xf numFmtId="182" fontId="21" fillId="0" borderId="2" xfId="289" applyNumberFormat="1" applyFont="1" applyFill="1" applyBorder="1" applyAlignment="1">
      <alignment horizontal="center" vertical="center"/>
    </xf>
    <xf numFmtId="41" fontId="46" fillId="0" borderId="0" xfId="9" applyNumberFormat="1" applyFont="1" applyBorder="1" applyAlignment="1">
      <alignment horizontal="center" vertical="center" shrinkToFit="1"/>
    </xf>
    <xf numFmtId="205" fontId="23" fillId="0" borderId="12" xfId="163" applyNumberFormat="1" applyFont="1" applyBorder="1" applyAlignment="1">
      <alignment horizontal="right" vertical="center"/>
    </xf>
    <xf numFmtId="0" fontId="24" fillId="26" borderId="67" xfId="163" applyNumberFormat="1" applyFont="1" applyFill="1" applyBorder="1" applyAlignment="1">
      <alignment horizontal="center" vertical="center" shrinkToFit="1"/>
    </xf>
    <xf numFmtId="0" fontId="24" fillId="26" borderId="57" xfId="163" applyNumberFormat="1" applyFont="1" applyFill="1" applyBorder="1" applyAlignment="1">
      <alignment horizontal="center" vertical="center" shrinkToFit="1"/>
    </xf>
    <xf numFmtId="0" fontId="24" fillId="26" borderId="68" xfId="163" applyNumberFormat="1" applyFont="1" applyFill="1" applyBorder="1" applyAlignment="1">
      <alignment horizontal="center" vertical="center" shrinkToFit="1"/>
    </xf>
    <xf numFmtId="41" fontId="24" fillId="26" borderId="61" xfId="9" applyNumberFormat="1" applyFont="1" applyFill="1" applyBorder="1" applyAlignment="1">
      <alignment horizontal="center" vertical="center"/>
    </xf>
    <xf numFmtId="41" fontId="24" fillId="26" borderId="28" xfId="9" applyNumberFormat="1" applyFont="1" applyFill="1" applyBorder="1" applyAlignment="1">
      <alignment horizontal="center" vertical="center"/>
    </xf>
    <xf numFmtId="0" fontId="24" fillId="26" borderId="70" xfId="163" applyNumberFormat="1" applyFont="1" applyFill="1" applyBorder="1" applyAlignment="1">
      <alignment horizontal="center" vertical="center"/>
    </xf>
    <xf numFmtId="0" fontId="24" fillId="26" borderId="71" xfId="163" applyNumberFormat="1" applyFont="1" applyFill="1" applyBorder="1" applyAlignment="1">
      <alignment horizontal="center" vertical="center"/>
    </xf>
    <xf numFmtId="0" fontId="24" fillId="26" borderId="12" xfId="163" applyNumberFormat="1" applyFont="1" applyFill="1" applyBorder="1" applyAlignment="1">
      <alignment horizontal="center" vertical="center"/>
    </xf>
    <xf numFmtId="0" fontId="24" fillId="26" borderId="51" xfId="163" applyNumberFormat="1" applyFont="1" applyFill="1" applyBorder="1" applyAlignment="1">
      <alignment horizontal="center" vertical="center"/>
    </xf>
    <xf numFmtId="41" fontId="24" fillId="26" borderId="13" xfId="9" applyNumberFormat="1" applyFont="1" applyFill="1" applyBorder="1" applyAlignment="1">
      <alignment horizontal="center" vertical="center" wrapText="1"/>
    </xf>
    <xf numFmtId="41" fontId="24" fillId="26" borderId="29" xfId="9" applyNumberFormat="1" applyFont="1" applyFill="1" applyBorder="1" applyAlignment="1">
      <alignment horizontal="center" vertical="center" wrapText="1"/>
    </xf>
    <xf numFmtId="41" fontId="24" fillId="26" borderId="69" xfId="9" applyNumberFormat="1" applyFont="1" applyFill="1" applyBorder="1" applyAlignment="1">
      <alignment horizontal="center" vertical="center" wrapText="1"/>
    </xf>
    <xf numFmtId="41" fontId="24" fillId="26" borderId="50" xfId="9" applyNumberFormat="1" applyFont="1" applyFill="1" applyBorder="1" applyAlignment="1">
      <alignment horizontal="center" vertical="center" wrapText="1"/>
    </xf>
  </cellXfs>
  <cellStyles count="300">
    <cellStyle name="??&amp;O?&amp;H?_x0008__x000f__x0007_?_x0007__x0001__x0001_" xfId="21" xr:uid="{00000000-0005-0000-0000-000000000000}"/>
    <cellStyle name="??&amp;O?&amp;H?_x0008_??_x0007__x0001__x0001_" xfId="5" xr:uid="{00000000-0005-0000-0000-000001000000}"/>
    <cellStyle name="??&amp;O?&amp;H?_x0008_??_x0007__x0001__x0001_ 2" xfId="22" xr:uid="{00000000-0005-0000-0000-000002000000}"/>
    <cellStyle name="20% - 강조색1 2" xfId="24" xr:uid="{00000000-0005-0000-0000-000003000000}"/>
    <cellStyle name="20% - 강조색1 3" xfId="23" xr:uid="{00000000-0005-0000-0000-000004000000}"/>
    <cellStyle name="20% - 강조색2 2" xfId="26" xr:uid="{00000000-0005-0000-0000-000005000000}"/>
    <cellStyle name="20% - 강조색2 3" xfId="25" xr:uid="{00000000-0005-0000-0000-000006000000}"/>
    <cellStyle name="20% - 강조색3 2" xfId="28" xr:uid="{00000000-0005-0000-0000-000007000000}"/>
    <cellStyle name="20% - 강조색3 3" xfId="27" xr:uid="{00000000-0005-0000-0000-000008000000}"/>
    <cellStyle name="20% - 강조색4 2" xfId="30" xr:uid="{00000000-0005-0000-0000-000009000000}"/>
    <cellStyle name="20% - 강조색4 3" xfId="29" xr:uid="{00000000-0005-0000-0000-00000A000000}"/>
    <cellStyle name="20% - 강조색5 2" xfId="32" xr:uid="{00000000-0005-0000-0000-00000B000000}"/>
    <cellStyle name="20% - 강조색5 3" xfId="31" xr:uid="{00000000-0005-0000-0000-00000C000000}"/>
    <cellStyle name="20% - 강조색6 2" xfId="34" xr:uid="{00000000-0005-0000-0000-00000D000000}"/>
    <cellStyle name="20% - 강조색6 3" xfId="33" xr:uid="{00000000-0005-0000-0000-00000E000000}"/>
    <cellStyle name="40% - 강조색1 2" xfId="36" xr:uid="{00000000-0005-0000-0000-00000F000000}"/>
    <cellStyle name="40% - 강조색1 3" xfId="35" xr:uid="{00000000-0005-0000-0000-000010000000}"/>
    <cellStyle name="40% - 강조색2 2" xfId="38" xr:uid="{00000000-0005-0000-0000-000011000000}"/>
    <cellStyle name="40% - 강조색2 3" xfId="37" xr:uid="{00000000-0005-0000-0000-000012000000}"/>
    <cellStyle name="40% - 강조색3 2" xfId="40" xr:uid="{00000000-0005-0000-0000-000013000000}"/>
    <cellStyle name="40% - 강조색3 3" xfId="39" xr:uid="{00000000-0005-0000-0000-000014000000}"/>
    <cellStyle name="40% - 강조색4 2" xfId="42" xr:uid="{00000000-0005-0000-0000-000015000000}"/>
    <cellStyle name="40% - 강조색4 3" xfId="41" xr:uid="{00000000-0005-0000-0000-000016000000}"/>
    <cellStyle name="40% - 강조색5 2" xfId="44" xr:uid="{00000000-0005-0000-0000-000017000000}"/>
    <cellStyle name="40% - 강조색5 3" xfId="43" xr:uid="{00000000-0005-0000-0000-000018000000}"/>
    <cellStyle name="40% - 강조색6 2" xfId="46" xr:uid="{00000000-0005-0000-0000-000019000000}"/>
    <cellStyle name="40% - 강조색6 3" xfId="45" xr:uid="{00000000-0005-0000-0000-00001A000000}"/>
    <cellStyle name="60% - 강조색1 2" xfId="47" xr:uid="{00000000-0005-0000-0000-00001B000000}"/>
    <cellStyle name="60% - 강조색2 2" xfId="48" xr:uid="{00000000-0005-0000-0000-00001C000000}"/>
    <cellStyle name="60% - 강조색3 2" xfId="49" xr:uid="{00000000-0005-0000-0000-00001D000000}"/>
    <cellStyle name="60% - 강조색4 2" xfId="50" xr:uid="{00000000-0005-0000-0000-00001E000000}"/>
    <cellStyle name="60% - 강조색5 2" xfId="51" xr:uid="{00000000-0005-0000-0000-00001F000000}"/>
    <cellStyle name="60% - 강조색6 2" xfId="52" xr:uid="{00000000-0005-0000-0000-000020000000}"/>
    <cellStyle name="Header1" xfId="53" xr:uid="{00000000-0005-0000-0000-000021000000}"/>
    <cellStyle name="Header2" xfId="54" xr:uid="{00000000-0005-0000-0000-000022000000}"/>
    <cellStyle name="강조색1 2" xfId="55" xr:uid="{00000000-0005-0000-0000-000023000000}"/>
    <cellStyle name="강조색2 2" xfId="56" xr:uid="{00000000-0005-0000-0000-000024000000}"/>
    <cellStyle name="강조색3 2" xfId="57" xr:uid="{00000000-0005-0000-0000-000025000000}"/>
    <cellStyle name="강조색4 2" xfId="58" xr:uid="{00000000-0005-0000-0000-000026000000}"/>
    <cellStyle name="강조색5 2" xfId="59" xr:uid="{00000000-0005-0000-0000-000027000000}"/>
    <cellStyle name="강조색6 2" xfId="60" xr:uid="{00000000-0005-0000-0000-000028000000}"/>
    <cellStyle name="경고문 2" xfId="61" xr:uid="{00000000-0005-0000-0000-000029000000}"/>
    <cellStyle name="계산 2" xfId="62" xr:uid="{00000000-0005-0000-0000-00002A000000}"/>
    <cellStyle name="나쁨 2" xfId="63" xr:uid="{00000000-0005-0000-0000-00002B000000}"/>
    <cellStyle name="메모 2" xfId="64" xr:uid="{00000000-0005-0000-0000-00002C000000}"/>
    <cellStyle name="백분율 2" xfId="8" xr:uid="{00000000-0005-0000-0000-00002D000000}"/>
    <cellStyle name="백분율 2 2" xfId="65" xr:uid="{00000000-0005-0000-0000-00002E000000}"/>
    <cellStyle name="백분율 3" xfId="19" xr:uid="{00000000-0005-0000-0000-00002F000000}"/>
    <cellStyle name="백분율 3 2" xfId="67" xr:uid="{00000000-0005-0000-0000-000030000000}"/>
    <cellStyle name="백분율 3 3" xfId="68" xr:uid="{00000000-0005-0000-0000-000031000000}"/>
    <cellStyle name="백분율 3 4" xfId="66" xr:uid="{00000000-0005-0000-0000-000032000000}"/>
    <cellStyle name="백분율 4" xfId="69" xr:uid="{00000000-0005-0000-0000-000033000000}"/>
    <cellStyle name="보통 2" xfId="70" xr:uid="{00000000-0005-0000-0000-000034000000}"/>
    <cellStyle name="보통 2 2" xfId="170" xr:uid="{00000000-0005-0000-0000-000035000000}"/>
    <cellStyle name="설명 텍스트 2" xfId="71" xr:uid="{00000000-0005-0000-0000-000036000000}"/>
    <cellStyle name="셀 확인 2" xfId="72" xr:uid="{00000000-0005-0000-0000-000037000000}"/>
    <cellStyle name="쉼표 [0]" xfId="288" builtinId="6"/>
    <cellStyle name="쉼표 [0] 10" xfId="281" xr:uid="{00000000-0005-0000-0000-000039000000}"/>
    <cellStyle name="쉼표 [0] 10 2" xfId="299" xr:uid="{00000000-0005-0000-0000-00003A000000}"/>
    <cellStyle name="쉼표 [0] 11" xfId="283" xr:uid="{00000000-0005-0000-0000-00003B000000}"/>
    <cellStyle name="쉼표 [0] 12" xfId="285" xr:uid="{00000000-0005-0000-0000-00003C000000}"/>
    <cellStyle name="쉼표 [0] 12 2" xfId="297" xr:uid="{00000000-0005-0000-0000-00003D000000}"/>
    <cellStyle name="쉼표 [0] 13" xfId="171" xr:uid="{00000000-0005-0000-0000-00003E000000}"/>
    <cellStyle name="쉼표 [0] 14" xfId="13" xr:uid="{00000000-0005-0000-0000-00003F000000}"/>
    <cellStyle name="쉼표 [0] 14 2" xfId="167" xr:uid="{00000000-0005-0000-0000-000040000000}"/>
    <cellStyle name="쉼표 [0] 14 3" xfId="169" xr:uid="{00000000-0005-0000-0000-000041000000}"/>
    <cellStyle name="쉼표 [0] 14 4" xfId="294" xr:uid="{00000000-0005-0000-0000-000042000000}"/>
    <cellStyle name="쉼표 [0] 15" xfId="287" xr:uid="{00000000-0005-0000-0000-000043000000}"/>
    <cellStyle name="쉼표 [0] 2" xfId="1" xr:uid="{00000000-0005-0000-0000-000044000000}"/>
    <cellStyle name="쉼표 [0] 2 10" xfId="173" xr:uid="{00000000-0005-0000-0000-000045000000}"/>
    <cellStyle name="쉼표 [0] 2 11" xfId="174" xr:uid="{00000000-0005-0000-0000-000046000000}"/>
    <cellStyle name="쉼표 [0] 2 12" xfId="175" xr:uid="{00000000-0005-0000-0000-000047000000}"/>
    <cellStyle name="쉼표 [0] 2 13" xfId="176" xr:uid="{00000000-0005-0000-0000-000048000000}"/>
    <cellStyle name="쉼표 [0] 2 14" xfId="177" xr:uid="{00000000-0005-0000-0000-000049000000}"/>
    <cellStyle name="쉼표 [0] 2 15" xfId="178" xr:uid="{00000000-0005-0000-0000-00004A000000}"/>
    <cellStyle name="쉼표 [0] 2 16" xfId="179" xr:uid="{00000000-0005-0000-0000-00004B000000}"/>
    <cellStyle name="쉼표 [0] 2 17" xfId="180" xr:uid="{00000000-0005-0000-0000-00004C000000}"/>
    <cellStyle name="쉼표 [0] 2 18" xfId="181" xr:uid="{00000000-0005-0000-0000-00004D000000}"/>
    <cellStyle name="쉼표 [0] 2 19" xfId="182" xr:uid="{00000000-0005-0000-0000-00004E000000}"/>
    <cellStyle name="쉼표 [0] 2 2" xfId="2" xr:uid="{00000000-0005-0000-0000-00004F000000}"/>
    <cellStyle name="쉼표 [0] 2 2 2" xfId="75" xr:uid="{00000000-0005-0000-0000-000050000000}"/>
    <cellStyle name="쉼표 [0] 2 2 3" xfId="162" xr:uid="{00000000-0005-0000-0000-000051000000}"/>
    <cellStyle name="쉼표 [0] 2 2 4" xfId="183" xr:uid="{00000000-0005-0000-0000-000052000000}"/>
    <cellStyle name="쉼표 [0] 2 20" xfId="184" xr:uid="{00000000-0005-0000-0000-000053000000}"/>
    <cellStyle name="쉼표 [0] 2 21" xfId="185" xr:uid="{00000000-0005-0000-0000-000054000000}"/>
    <cellStyle name="쉼표 [0] 2 22" xfId="186" xr:uid="{00000000-0005-0000-0000-000055000000}"/>
    <cellStyle name="쉼표 [0] 2 23" xfId="187" xr:uid="{00000000-0005-0000-0000-000056000000}"/>
    <cellStyle name="쉼표 [0] 2 24" xfId="188" xr:uid="{00000000-0005-0000-0000-000057000000}"/>
    <cellStyle name="쉼표 [0] 2 25" xfId="189" xr:uid="{00000000-0005-0000-0000-000058000000}"/>
    <cellStyle name="쉼표 [0] 2 26" xfId="190" xr:uid="{00000000-0005-0000-0000-000059000000}"/>
    <cellStyle name="쉼표 [0] 2 27" xfId="191" xr:uid="{00000000-0005-0000-0000-00005A000000}"/>
    <cellStyle name="쉼표 [0] 2 28" xfId="192" xr:uid="{00000000-0005-0000-0000-00005B000000}"/>
    <cellStyle name="쉼표 [0] 2 29" xfId="193" xr:uid="{00000000-0005-0000-0000-00005C000000}"/>
    <cellStyle name="쉼표 [0] 2 3" xfId="3" xr:uid="{00000000-0005-0000-0000-00005D000000}"/>
    <cellStyle name="쉼표 [0] 2 3 2" xfId="160" xr:uid="{00000000-0005-0000-0000-00005E000000}"/>
    <cellStyle name="쉼표 [0] 2 3 3" xfId="194" xr:uid="{00000000-0005-0000-0000-00005F000000}"/>
    <cellStyle name="쉼표 [0] 2 30" xfId="195" xr:uid="{00000000-0005-0000-0000-000060000000}"/>
    <cellStyle name="쉼표 [0] 2 31" xfId="196" xr:uid="{00000000-0005-0000-0000-000061000000}"/>
    <cellStyle name="쉼표 [0] 2 32" xfId="197" xr:uid="{00000000-0005-0000-0000-000062000000}"/>
    <cellStyle name="쉼표 [0] 2 33" xfId="198" xr:uid="{00000000-0005-0000-0000-000063000000}"/>
    <cellStyle name="쉼표 [0] 2 34" xfId="199" xr:uid="{00000000-0005-0000-0000-000064000000}"/>
    <cellStyle name="쉼표 [0] 2 35" xfId="200" xr:uid="{00000000-0005-0000-0000-000065000000}"/>
    <cellStyle name="쉼표 [0] 2 36" xfId="201" xr:uid="{00000000-0005-0000-0000-000066000000}"/>
    <cellStyle name="쉼표 [0] 2 37" xfId="202" xr:uid="{00000000-0005-0000-0000-000067000000}"/>
    <cellStyle name="쉼표 [0] 2 38" xfId="203" xr:uid="{00000000-0005-0000-0000-000068000000}"/>
    <cellStyle name="쉼표 [0] 2 39" xfId="204" xr:uid="{00000000-0005-0000-0000-000069000000}"/>
    <cellStyle name="쉼표 [0] 2 4" xfId="17" xr:uid="{00000000-0005-0000-0000-00006A000000}"/>
    <cellStyle name="쉼표 [0] 2 4 2" xfId="205" xr:uid="{00000000-0005-0000-0000-00006B000000}"/>
    <cellStyle name="쉼표 [0] 2 40" xfId="206" xr:uid="{00000000-0005-0000-0000-00006C000000}"/>
    <cellStyle name="쉼표 [0] 2 41" xfId="207" xr:uid="{00000000-0005-0000-0000-00006D000000}"/>
    <cellStyle name="쉼표 [0] 2 42" xfId="208" xr:uid="{00000000-0005-0000-0000-00006E000000}"/>
    <cellStyle name="쉼표 [0] 2 43" xfId="209" xr:uid="{00000000-0005-0000-0000-00006F000000}"/>
    <cellStyle name="쉼표 [0] 2 44" xfId="210" xr:uid="{00000000-0005-0000-0000-000070000000}"/>
    <cellStyle name="쉼표 [0] 2 45" xfId="211" xr:uid="{00000000-0005-0000-0000-000071000000}"/>
    <cellStyle name="쉼표 [0] 2 46" xfId="212" xr:uid="{00000000-0005-0000-0000-000072000000}"/>
    <cellStyle name="쉼표 [0] 2 47" xfId="213" xr:uid="{00000000-0005-0000-0000-000073000000}"/>
    <cellStyle name="쉼표 [0] 2 48" xfId="214" xr:uid="{00000000-0005-0000-0000-000074000000}"/>
    <cellStyle name="쉼표 [0] 2 49" xfId="215" xr:uid="{00000000-0005-0000-0000-000075000000}"/>
    <cellStyle name="쉼표 [0] 2 5" xfId="74" xr:uid="{00000000-0005-0000-0000-000076000000}"/>
    <cellStyle name="쉼표 [0] 2 5 2" xfId="216" xr:uid="{00000000-0005-0000-0000-000077000000}"/>
    <cellStyle name="쉼표 [0] 2 50" xfId="217" xr:uid="{00000000-0005-0000-0000-000078000000}"/>
    <cellStyle name="쉼표 [0] 2 51" xfId="218" xr:uid="{00000000-0005-0000-0000-000079000000}"/>
    <cellStyle name="쉼표 [0] 2 52" xfId="219" xr:uid="{00000000-0005-0000-0000-00007A000000}"/>
    <cellStyle name="쉼표 [0] 2 53" xfId="220" xr:uid="{00000000-0005-0000-0000-00007B000000}"/>
    <cellStyle name="쉼표 [0] 2 54" xfId="221" xr:uid="{00000000-0005-0000-0000-00007C000000}"/>
    <cellStyle name="쉼표 [0] 2 55" xfId="222" xr:uid="{00000000-0005-0000-0000-00007D000000}"/>
    <cellStyle name="쉼표 [0] 2 56" xfId="223" xr:uid="{00000000-0005-0000-0000-00007E000000}"/>
    <cellStyle name="쉼표 [0] 2 57" xfId="224" xr:uid="{00000000-0005-0000-0000-00007F000000}"/>
    <cellStyle name="쉼표 [0] 2 58" xfId="225" xr:uid="{00000000-0005-0000-0000-000080000000}"/>
    <cellStyle name="쉼표 [0] 2 59" xfId="226" xr:uid="{00000000-0005-0000-0000-000081000000}"/>
    <cellStyle name="쉼표 [0] 2 6" xfId="161" xr:uid="{00000000-0005-0000-0000-000082000000}"/>
    <cellStyle name="쉼표 [0] 2 6 2" xfId="227" xr:uid="{00000000-0005-0000-0000-000083000000}"/>
    <cellStyle name="쉼표 [0] 2 60" xfId="228" xr:uid="{00000000-0005-0000-0000-000084000000}"/>
    <cellStyle name="쉼표 [0] 2 61" xfId="229" xr:uid="{00000000-0005-0000-0000-000085000000}"/>
    <cellStyle name="쉼표 [0] 2 62" xfId="230" xr:uid="{00000000-0005-0000-0000-000086000000}"/>
    <cellStyle name="쉼표 [0] 2 63" xfId="231" xr:uid="{00000000-0005-0000-0000-000087000000}"/>
    <cellStyle name="쉼표 [0] 2 64" xfId="232" xr:uid="{00000000-0005-0000-0000-000088000000}"/>
    <cellStyle name="쉼표 [0] 2 65" xfId="233" xr:uid="{00000000-0005-0000-0000-000089000000}"/>
    <cellStyle name="쉼표 [0] 2 66" xfId="234" xr:uid="{00000000-0005-0000-0000-00008A000000}"/>
    <cellStyle name="쉼표 [0] 2 67" xfId="235" xr:uid="{00000000-0005-0000-0000-00008B000000}"/>
    <cellStyle name="쉼표 [0] 2 68" xfId="236" xr:uid="{00000000-0005-0000-0000-00008C000000}"/>
    <cellStyle name="쉼표 [0] 2 69" xfId="237" xr:uid="{00000000-0005-0000-0000-00008D000000}"/>
    <cellStyle name="쉼표 [0] 2 7" xfId="238" xr:uid="{00000000-0005-0000-0000-00008E000000}"/>
    <cellStyle name="쉼표 [0] 2 70" xfId="239" xr:uid="{00000000-0005-0000-0000-00008F000000}"/>
    <cellStyle name="쉼표 [0] 2 71" xfId="240" xr:uid="{00000000-0005-0000-0000-000090000000}"/>
    <cellStyle name="쉼표 [0] 2 72" xfId="241" xr:uid="{00000000-0005-0000-0000-000091000000}"/>
    <cellStyle name="쉼표 [0] 2 73" xfId="242" xr:uid="{00000000-0005-0000-0000-000092000000}"/>
    <cellStyle name="쉼표 [0] 2 74" xfId="243" xr:uid="{00000000-0005-0000-0000-000093000000}"/>
    <cellStyle name="쉼표 [0] 2 75" xfId="244" xr:uid="{00000000-0005-0000-0000-000094000000}"/>
    <cellStyle name="쉼표 [0] 2 76" xfId="245" xr:uid="{00000000-0005-0000-0000-000095000000}"/>
    <cellStyle name="쉼표 [0] 2 77" xfId="246" xr:uid="{00000000-0005-0000-0000-000096000000}"/>
    <cellStyle name="쉼표 [0] 2 78" xfId="247" xr:uid="{00000000-0005-0000-0000-000097000000}"/>
    <cellStyle name="쉼표 [0] 2 79" xfId="248" xr:uid="{00000000-0005-0000-0000-000098000000}"/>
    <cellStyle name="쉼표 [0] 2 8" xfId="249" xr:uid="{00000000-0005-0000-0000-000099000000}"/>
    <cellStyle name="쉼표 [0] 2 80" xfId="250" xr:uid="{00000000-0005-0000-0000-00009A000000}"/>
    <cellStyle name="쉼표 [0] 2 81" xfId="251" xr:uid="{00000000-0005-0000-0000-00009B000000}"/>
    <cellStyle name="쉼표 [0] 2 82" xfId="252" xr:uid="{00000000-0005-0000-0000-00009C000000}"/>
    <cellStyle name="쉼표 [0] 2 83" xfId="253" xr:uid="{00000000-0005-0000-0000-00009D000000}"/>
    <cellStyle name="쉼표 [0] 2 84" xfId="254" xr:uid="{00000000-0005-0000-0000-00009E000000}"/>
    <cellStyle name="쉼표 [0] 2 85" xfId="255" xr:uid="{00000000-0005-0000-0000-00009F000000}"/>
    <cellStyle name="쉼표 [0] 2 86" xfId="256" xr:uid="{00000000-0005-0000-0000-0000A0000000}"/>
    <cellStyle name="쉼표 [0] 2 87" xfId="268" xr:uid="{00000000-0005-0000-0000-0000A1000000}"/>
    <cellStyle name="쉼표 [0] 2 88" xfId="172" xr:uid="{00000000-0005-0000-0000-0000A2000000}"/>
    <cellStyle name="쉼표 [0] 2 9" xfId="257" xr:uid="{00000000-0005-0000-0000-0000A3000000}"/>
    <cellStyle name="쉼표 [0] 3" xfId="9" xr:uid="{00000000-0005-0000-0000-0000A4000000}"/>
    <cellStyle name="쉼표 [0] 3 2" xfId="76" xr:uid="{00000000-0005-0000-0000-0000A5000000}"/>
    <cellStyle name="쉼표 [0] 3 3" xfId="168" xr:uid="{00000000-0005-0000-0000-0000A6000000}"/>
    <cellStyle name="쉼표 [0] 3 4" xfId="292" xr:uid="{00000000-0005-0000-0000-0000A7000000}"/>
    <cellStyle name="쉼표 [0] 4" xfId="77" xr:uid="{00000000-0005-0000-0000-0000A8000000}"/>
    <cellStyle name="쉼표 [0] 4 2" xfId="78" xr:uid="{00000000-0005-0000-0000-0000A9000000}"/>
    <cellStyle name="쉼표 [0] 4 3" xfId="79" xr:uid="{00000000-0005-0000-0000-0000AA000000}"/>
    <cellStyle name="쉼표 [0] 4 4" xfId="270" xr:uid="{00000000-0005-0000-0000-0000AB000000}"/>
    <cellStyle name="쉼표 [0] 5" xfId="80" xr:uid="{00000000-0005-0000-0000-0000AC000000}"/>
    <cellStyle name="쉼표 [0] 5 2" xfId="271" xr:uid="{00000000-0005-0000-0000-0000AD000000}"/>
    <cellStyle name="쉼표 [0] 6" xfId="81" xr:uid="{00000000-0005-0000-0000-0000AE000000}"/>
    <cellStyle name="쉼표 [0] 6 2" xfId="82" xr:uid="{00000000-0005-0000-0000-0000AF000000}"/>
    <cellStyle name="쉼표 [0] 6 3" xfId="83" xr:uid="{00000000-0005-0000-0000-0000B0000000}"/>
    <cellStyle name="쉼표 [0] 6 4" xfId="279" xr:uid="{00000000-0005-0000-0000-0000B1000000}"/>
    <cellStyle name="쉼표 [0] 7" xfId="73" xr:uid="{00000000-0005-0000-0000-0000B2000000}"/>
    <cellStyle name="쉼표 [0] 8" xfId="166" xr:uid="{00000000-0005-0000-0000-0000B3000000}"/>
    <cellStyle name="쉼표 [0] 9" xfId="278" xr:uid="{00000000-0005-0000-0000-0000B4000000}"/>
    <cellStyle name="연결된 셀 2" xfId="84" xr:uid="{00000000-0005-0000-0000-0000B5000000}"/>
    <cellStyle name="요약 2" xfId="85" xr:uid="{00000000-0005-0000-0000-0000B6000000}"/>
    <cellStyle name="입력 2" xfId="86" xr:uid="{00000000-0005-0000-0000-0000B7000000}"/>
    <cellStyle name="제목 1 2" xfId="88" xr:uid="{00000000-0005-0000-0000-0000B8000000}"/>
    <cellStyle name="제목 2 2" xfId="89" xr:uid="{00000000-0005-0000-0000-0000B9000000}"/>
    <cellStyle name="제목 3 2" xfId="90" xr:uid="{00000000-0005-0000-0000-0000BA000000}"/>
    <cellStyle name="제목 4 2" xfId="91" xr:uid="{00000000-0005-0000-0000-0000BB000000}"/>
    <cellStyle name="제목 5" xfId="87" xr:uid="{00000000-0005-0000-0000-0000BC000000}"/>
    <cellStyle name="좋음 2" xfId="92" xr:uid="{00000000-0005-0000-0000-0000BD000000}"/>
    <cellStyle name="출력 2" xfId="93" xr:uid="{00000000-0005-0000-0000-0000BE000000}"/>
    <cellStyle name="콤마 [0]_  종  합  " xfId="94" xr:uid="{00000000-0005-0000-0000-0000BF000000}"/>
    <cellStyle name="콤마_  종  합  " xfId="95" xr:uid="{00000000-0005-0000-0000-0000C0000000}"/>
    <cellStyle name="표준" xfId="0" builtinId="0"/>
    <cellStyle name="표준 10" xfId="96" xr:uid="{00000000-0005-0000-0000-0000C2000000}"/>
    <cellStyle name="표준 10 2" xfId="272" xr:uid="{00000000-0005-0000-0000-0000C3000000}"/>
    <cellStyle name="표준 10 2 3" xfId="298" xr:uid="{00000000-0005-0000-0000-0000C4000000}"/>
    <cellStyle name="표준 11" xfId="97" xr:uid="{00000000-0005-0000-0000-0000C5000000}"/>
    <cellStyle name="표준 12" xfId="98" xr:uid="{00000000-0005-0000-0000-0000C6000000}"/>
    <cellStyle name="표준 13" xfId="99" xr:uid="{00000000-0005-0000-0000-0000C7000000}"/>
    <cellStyle name="표준 14" xfId="100" xr:uid="{00000000-0005-0000-0000-0000C8000000}"/>
    <cellStyle name="표준 15" xfId="101" xr:uid="{00000000-0005-0000-0000-0000C9000000}"/>
    <cellStyle name="표준 16" xfId="102" xr:uid="{00000000-0005-0000-0000-0000CA000000}"/>
    <cellStyle name="표준 17" xfId="103" xr:uid="{00000000-0005-0000-0000-0000CB000000}"/>
    <cellStyle name="표준 18" xfId="104" xr:uid="{00000000-0005-0000-0000-0000CC000000}"/>
    <cellStyle name="표준 19" xfId="105" xr:uid="{00000000-0005-0000-0000-0000CD000000}"/>
    <cellStyle name="표준 2" xfId="106" xr:uid="{00000000-0005-0000-0000-0000CE000000}"/>
    <cellStyle name="표준 2 2" xfId="14" xr:uid="{00000000-0005-0000-0000-0000CF000000}"/>
    <cellStyle name="표준 2 2 2" xfId="108" xr:uid="{00000000-0005-0000-0000-0000D0000000}"/>
    <cellStyle name="표준 2 2 3" xfId="107" xr:uid="{00000000-0005-0000-0000-0000D1000000}"/>
    <cellStyle name="표준 2 3" xfId="109" xr:uid="{00000000-0005-0000-0000-0000D2000000}"/>
    <cellStyle name="표준 2 4" xfId="110" xr:uid="{00000000-0005-0000-0000-0000D3000000}"/>
    <cellStyle name="표준 20" xfId="111" xr:uid="{00000000-0005-0000-0000-0000D4000000}"/>
    <cellStyle name="표준 21" xfId="112" xr:uid="{00000000-0005-0000-0000-0000D5000000}"/>
    <cellStyle name="표준 22" xfId="113" xr:uid="{00000000-0005-0000-0000-0000D6000000}"/>
    <cellStyle name="표준 23" xfId="114" xr:uid="{00000000-0005-0000-0000-0000D7000000}"/>
    <cellStyle name="표준 24" xfId="115" xr:uid="{00000000-0005-0000-0000-0000D8000000}"/>
    <cellStyle name="표준 25" xfId="116" xr:uid="{00000000-0005-0000-0000-0000D9000000}"/>
    <cellStyle name="표준 26" xfId="117" xr:uid="{00000000-0005-0000-0000-0000DA000000}"/>
    <cellStyle name="표준 27" xfId="118" xr:uid="{00000000-0005-0000-0000-0000DB000000}"/>
    <cellStyle name="표준 28" xfId="119" xr:uid="{00000000-0005-0000-0000-0000DC000000}"/>
    <cellStyle name="표준 29" xfId="120" xr:uid="{00000000-0005-0000-0000-0000DD000000}"/>
    <cellStyle name="표준 3" xfId="4" xr:uid="{00000000-0005-0000-0000-0000DE000000}"/>
    <cellStyle name="표준 3 2" xfId="122" xr:uid="{00000000-0005-0000-0000-0000DF000000}"/>
    <cellStyle name="표준 3 2 2" xfId="273" xr:uid="{00000000-0005-0000-0000-0000E0000000}"/>
    <cellStyle name="표준 3 3" xfId="121" xr:uid="{00000000-0005-0000-0000-0000E1000000}"/>
    <cellStyle name="표준 3 3 2" xfId="269" xr:uid="{00000000-0005-0000-0000-0000E2000000}"/>
    <cellStyle name="표준 30" xfId="123" xr:uid="{00000000-0005-0000-0000-0000E3000000}"/>
    <cellStyle name="표준 31" xfId="124" xr:uid="{00000000-0005-0000-0000-0000E4000000}"/>
    <cellStyle name="표준 32" xfId="125" xr:uid="{00000000-0005-0000-0000-0000E5000000}"/>
    <cellStyle name="표준 33" xfId="126" xr:uid="{00000000-0005-0000-0000-0000E6000000}"/>
    <cellStyle name="표준 34" xfId="127" xr:uid="{00000000-0005-0000-0000-0000E7000000}"/>
    <cellStyle name="표준 35" xfId="128" xr:uid="{00000000-0005-0000-0000-0000E8000000}"/>
    <cellStyle name="표준 36" xfId="129" xr:uid="{00000000-0005-0000-0000-0000E9000000}"/>
    <cellStyle name="표준 37" xfId="130" xr:uid="{00000000-0005-0000-0000-0000EA000000}"/>
    <cellStyle name="표준 38" xfId="131" xr:uid="{00000000-0005-0000-0000-0000EB000000}"/>
    <cellStyle name="표준 39" xfId="132" xr:uid="{00000000-0005-0000-0000-0000EC000000}"/>
    <cellStyle name="표준 4" xfId="133" xr:uid="{00000000-0005-0000-0000-0000ED000000}"/>
    <cellStyle name="표준 4 2" xfId="274" xr:uid="{00000000-0005-0000-0000-0000EE000000}"/>
    <cellStyle name="표준 4 3" xfId="258" xr:uid="{00000000-0005-0000-0000-0000EF000000}"/>
    <cellStyle name="표준 40" xfId="134" xr:uid="{00000000-0005-0000-0000-0000F0000000}"/>
    <cellStyle name="표준 41" xfId="135" xr:uid="{00000000-0005-0000-0000-0000F1000000}"/>
    <cellStyle name="표준 42" xfId="136" xr:uid="{00000000-0005-0000-0000-0000F2000000}"/>
    <cellStyle name="표준 43" xfId="137" xr:uid="{00000000-0005-0000-0000-0000F3000000}"/>
    <cellStyle name="표준 44" xfId="138" xr:uid="{00000000-0005-0000-0000-0000F4000000}"/>
    <cellStyle name="표준 45" xfId="139" xr:uid="{00000000-0005-0000-0000-0000F5000000}"/>
    <cellStyle name="표준 46" xfId="140" xr:uid="{00000000-0005-0000-0000-0000F6000000}"/>
    <cellStyle name="표준 47" xfId="141" xr:uid="{00000000-0005-0000-0000-0000F7000000}"/>
    <cellStyle name="표준 48" xfId="142" xr:uid="{00000000-0005-0000-0000-0000F8000000}"/>
    <cellStyle name="표준 49" xfId="143" xr:uid="{00000000-0005-0000-0000-0000F9000000}"/>
    <cellStyle name="표준 5" xfId="144" xr:uid="{00000000-0005-0000-0000-0000FA000000}"/>
    <cellStyle name="표준 5 2" xfId="275" xr:uid="{00000000-0005-0000-0000-0000FB000000}"/>
    <cellStyle name="표준 50" xfId="145" xr:uid="{00000000-0005-0000-0000-0000FC000000}"/>
    <cellStyle name="표준 51" xfId="146" xr:uid="{00000000-0005-0000-0000-0000FD000000}"/>
    <cellStyle name="표준 52" xfId="147" xr:uid="{00000000-0005-0000-0000-0000FE000000}"/>
    <cellStyle name="표준 53" xfId="148" xr:uid="{00000000-0005-0000-0000-0000FF000000}"/>
    <cellStyle name="표준 54" xfId="149" xr:uid="{00000000-0005-0000-0000-000000010000}"/>
    <cellStyle name="표준 55" xfId="150" xr:uid="{00000000-0005-0000-0000-000001010000}"/>
    <cellStyle name="표준 56" xfId="151" xr:uid="{00000000-0005-0000-0000-000002010000}"/>
    <cellStyle name="표준 57" xfId="152" xr:uid="{00000000-0005-0000-0000-000003010000}"/>
    <cellStyle name="표준 58" xfId="153" xr:uid="{00000000-0005-0000-0000-000004010000}"/>
    <cellStyle name="표준 59" xfId="154" xr:uid="{00000000-0005-0000-0000-000005010000}"/>
    <cellStyle name="표준 6" xfId="6" xr:uid="{00000000-0005-0000-0000-000006010000}"/>
    <cellStyle name="표준 6 2" xfId="16" xr:uid="{00000000-0005-0000-0000-000007010000}"/>
    <cellStyle name="표준 6 2 2" xfId="276" xr:uid="{00000000-0005-0000-0000-000008010000}"/>
    <cellStyle name="표준 60" xfId="155" xr:uid="{00000000-0005-0000-0000-000009010000}"/>
    <cellStyle name="표준 61" xfId="156" xr:uid="{00000000-0005-0000-0000-00000A010000}"/>
    <cellStyle name="표준 62" xfId="12" xr:uid="{00000000-0005-0000-0000-00000B010000}"/>
    <cellStyle name="표준 62 2" xfId="157" xr:uid="{00000000-0005-0000-0000-00000C010000}"/>
    <cellStyle name="표준 62 3" xfId="293" xr:uid="{00000000-0005-0000-0000-00000D010000}"/>
    <cellStyle name="표준 63" xfId="11" xr:uid="{00000000-0005-0000-0000-00000E010000}"/>
    <cellStyle name="표준 63 2" xfId="165" xr:uid="{00000000-0005-0000-0000-00000F010000}"/>
    <cellStyle name="표준 63 3" xfId="291" xr:uid="{00000000-0005-0000-0000-000010010000}"/>
    <cellStyle name="표준 64" xfId="20" xr:uid="{00000000-0005-0000-0000-000011010000}"/>
    <cellStyle name="표준 64 2" xfId="259" xr:uid="{00000000-0005-0000-0000-000012010000}"/>
    <cellStyle name="표준 65" xfId="163" xr:uid="{00000000-0005-0000-0000-000013010000}"/>
    <cellStyle name="표준 65 2" xfId="260" xr:uid="{00000000-0005-0000-0000-000014010000}"/>
    <cellStyle name="표준 66" xfId="261" xr:uid="{00000000-0005-0000-0000-000015010000}"/>
    <cellStyle name="표준 67" xfId="10" xr:uid="{00000000-0005-0000-0000-000016010000}"/>
    <cellStyle name="표준 67 2" xfId="164" xr:uid="{00000000-0005-0000-0000-000017010000}"/>
    <cellStyle name="표준 67 3" xfId="295" xr:uid="{00000000-0005-0000-0000-000018010000}"/>
    <cellStyle name="표준 68" xfId="262" xr:uid="{00000000-0005-0000-0000-000019010000}"/>
    <cellStyle name="표준 69" xfId="263" xr:uid="{00000000-0005-0000-0000-00001A010000}"/>
    <cellStyle name="표준 7" xfId="7" xr:uid="{00000000-0005-0000-0000-00001B010000}"/>
    <cellStyle name="표준 7 2" xfId="18" xr:uid="{00000000-0005-0000-0000-00001C010000}"/>
    <cellStyle name="표준 7 3" xfId="264" xr:uid="{00000000-0005-0000-0000-00001D010000}"/>
    <cellStyle name="표준 70" xfId="265" xr:uid="{00000000-0005-0000-0000-00001E010000}"/>
    <cellStyle name="표준 71" xfId="266" xr:uid="{00000000-0005-0000-0000-00001F010000}"/>
    <cellStyle name="표준 72" xfId="267" xr:uid="{00000000-0005-0000-0000-000020010000}"/>
    <cellStyle name="표준 73" xfId="280" xr:uid="{00000000-0005-0000-0000-000021010000}"/>
    <cellStyle name="표준 74" xfId="282" xr:uid="{00000000-0005-0000-0000-000022010000}"/>
    <cellStyle name="표준 75" xfId="284" xr:uid="{00000000-0005-0000-0000-000023010000}"/>
    <cellStyle name="표준 76" xfId="286" xr:uid="{00000000-0005-0000-0000-000024010000}"/>
    <cellStyle name="표준 77" xfId="290" xr:uid="{00000000-0005-0000-0000-000025010000}"/>
    <cellStyle name="표준 8" xfId="158" xr:uid="{00000000-0005-0000-0000-000026010000}"/>
    <cellStyle name="표준 8 2" xfId="277" xr:uid="{00000000-0005-0000-0000-000027010000}"/>
    <cellStyle name="표준 9" xfId="159" xr:uid="{00000000-0005-0000-0000-000028010000}"/>
    <cellStyle name="표준_2분기 예산(남부)" xfId="289" xr:uid="{00000000-0005-0000-0000-000029010000}"/>
    <cellStyle name="표준_2분기 예산(남부) 2" xfId="15" xr:uid="{00000000-0005-0000-0000-00002A010000}"/>
    <cellStyle name="표준_2분기 예산(남부) 2 2" xfId="296" xr:uid="{00000000-0005-0000-0000-00002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147483647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N21"/>
  <sheetViews>
    <sheetView zoomScaleNormal="100" zoomScaleSheetLayoutView="75" workbookViewId="0">
      <selection activeCell="J16" sqref="J16"/>
    </sheetView>
  </sheetViews>
  <sheetFormatPr defaultColWidth="8.75" defaultRowHeight="16.5"/>
  <sheetData>
    <row r="3" spans="1:14" ht="36.75" customHeight="1"/>
    <row r="4" spans="1:14" ht="46.5" customHeight="1">
      <c r="A4" s="1529" t="s">
        <v>296</v>
      </c>
      <c r="B4" s="1529"/>
      <c r="C4" s="1529"/>
      <c r="D4" s="1529"/>
      <c r="E4" s="1529"/>
      <c r="F4" s="1529"/>
      <c r="G4" s="1529"/>
      <c r="H4" s="1529"/>
      <c r="I4" s="1529"/>
      <c r="J4" s="1529"/>
      <c r="K4" s="1529"/>
      <c r="L4" s="1529"/>
      <c r="M4" s="1529"/>
      <c r="N4" s="1529"/>
    </row>
    <row r="5" spans="1:14" ht="16.5" customHeight="1">
      <c r="A5" s="1529"/>
      <c r="B5" s="1529"/>
      <c r="C5" s="1529"/>
      <c r="D5" s="1529"/>
      <c r="E5" s="1529"/>
      <c r="F5" s="1529"/>
      <c r="G5" s="1529"/>
      <c r="H5" s="1529"/>
      <c r="I5" s="1529"/>
      <c r="J5" s="1529"/>
      <c r="K5" s="1529"/>
      <c r="L5" s="1529"/>
      <c r="M5" s="1529"/>
      <c r="N5" s="1529"/>
    </row>
    <row r="6" spans="1:14" ht="16.5" customHeight="1">
      <c r="A6" s="1529"/>
      <c r="B6" s="1529"/>
      <c r="C6" s="1529"/>
      <c r="D6" s="1529"/>
      <c r="E6" s="1529"/>
      <c r="F6" s="1529"/>
      <c r="G6" s="1529"/>
      <c r="H6" s="1529"/>
      <c r="I6" s="1529"/>
      <c r="J6" s="1529"/>
      <c r="K6" s="1529"/>
      <c r="L6" s="1529"/>
      <c r="M6" s="1529"/>
      <c r="N6" s="1529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21" spans="1:14" ht="31.5">
      <c r="A21" s="1530" t="s">
        <v>17</v>
      </c>
      <c r="B21" s="1530"/>
      <c r="C21" s="1530"/>
      <c r="D21" s="1530"/>
      <c r="E21" s="1530"/>
      <c r="F21" s="1530"/>
      <c r="G21" s="1530"/>
      <c r="H21" s="1530"/>
      <c r="I21" s="1530"/>
      <c r="J21" s="1530"/>
      <c r="K21" s="1530"/>
      <c r="L21" s="1530"/>
      <c r="M21" s="1530"/>
      <c r="N21" s="1530"/>
    </row>
  </sheetData>
  <mergeCells count="2">
    <mergeCell ref="A4:N6"/>
    <mergeCell ref="A21:N21"/>
  </mergeCells>
  <phoneticPr fontId="54" type="noConversion"/>
  <pageMargins left="0.39347222447395325" right="0.39347222447395325" top="0.74777776002883911" bottom="0.74777776002883911" header="0.31486111879348755" footer="0.3148611187934875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R38"/>
  <sheetViews>
    <sheetView view="pageBreakPreview" zoomScale="85" zoomScaleNormal="100" zoomScaleSheetLayoutView="85" workbookViewId="0">
      <selection activeCell="D35" sqref="D35"/>
    </sheetView>
  </sheetViews>
  <sheetFormatPr defaultColWidth="8.75" defaultRowHeight="16.5"/>
  <cols>
    <col min="2" max="2" width="8.5" bestFit="1" customWidth="1"/>
    <col min="3" max="3" width="20.125" bestFit="1" customWidth="1"/>
    <col min="4" max="4" width="13.75" customWidth="1"/>
    <col min="5" max="5" width="12.25" customWidth="1"/>
    <col min="6" max="6" width="12.375" customWidth="1"/>
    <col min="7" max="7" width="57.125" customWidth="1"/>
    <col min="8" max="8" width="10.375" customWidth="1"/>
    <col min="9" max="9" width="2.5" bestFit="1" customWidth="1"/>
    <col min="10" max="10" width="5.5" bestFit="1" customWidth="1"/>
    <col min="11" max="11" width="3" bestFit="1" customWidth="1"/>
    <col min="12" max="12" width="5.125" customWidth="1"/>
    <col min="13" max="13" width="2.5" bestFit="1" customWidth="1"/>
    <col min="14" max="14" width="10.375" bestFit="1" customWidth="1"/>
    <col min="15" max="15" width="9" bestFit="1" customWidth="1"/>
    <col min="17" max="17" width="10.875" bestFit="1" customWidth="1"/>
    <col min="18" max="18" width="9.375" bestFit="1" customWidth="1"/>
  </cols>
  <sheetData>
    <row r="1" spans="1:14" ht="35.1" customHeight="1">
      <c r="A1" s="1677" t="s">
        <v>148</v>
      </c>
      <c r="B1" s="1677"/>
      <c r="C1" s="1677"/>
      <c r="D1" s="1677"/>
      <c r="E1" s="1677"/>
      <c r="F1" s="1677"/>
      <c r="G1" s="1677"/>
      <c r="H1" s="1677"/>
      <c r="I1" s="1677"/>
      <c r="J1" s="1677"/>
      <c r="K1" s="1677"/>
      <c r="L1" s="1677"/>
      <c r="M1" s="1677"/>
      <c r="N1" s="1677"/>
    </row>
    <row r="2" spans="1:14" ht="15" customHeight="1">
      <c r="A2" s="4" t="s">
        <v>245</v>
      </c>
      <c r="B2" s="170"/>
      <c r="C2" s="171"/>
      <c r="D2" s="7"/>
      <c r="E2" s="7"/>
      <c r="F2" s="121"/>
      <c r="G2" s="170"/>
      <c r="H2" s="172"/>
      <c r="I2" s="173"/>
      <c r="J2" s="174"/>
      <c r="K2" s="173"/>
      <c r="L2" s="175"/>
      <c r="M2" s="1678" t="s">
        <v>75</v>
      </c>
      <c r="N2" s="1678"/>
    </row>
    <row r="3" spans="1:14" ht="15" customHeight="1">
      <c r="A3" s="1679" t="s">
        <v>250</v>
      </c>
      <c r="B3" s="1680"/>
      <c r="C3" s="1681"/>
      <c r="D3" s="1690" t="s">
        <v>41</v>
      </c>
      <c r="E3" s="1688" t="s">
        <v>215</v>
      </c>
      <c r="F3" s="1682" t="s">
        <v>211</v>
      </c>
      <c r="G3" s="1684" t="s">
        <v>225</v>
      </c>
      <c r="H3" s="1684"/>
      <c r="I3" s="1684"/>
      <c r="J3" s="1684"/>
      <c r="K3" s="1684"/>
      <c r="L3" s="1684"/>
      <c r="M3" s="1684"/>
      <c r="N3" s="1685"/>
    </row>
    <row r="4" spans="1:14" ht="15" customHeight="1">
      <c r="A4" s="176" t="s">
        <v>0</v>
      </c>
      <c r="B4" s="177" t="s">
        <v>2</v>
      </c>
      <c r="C4" s="177" t="s">
        <v>1</v>
      </c>
      <c r="D4" s="1691"/>
      <c r="E4" s="1689"/>
      <c r="F4" s="1683"/>
      <c r="G4" s="1686"/>
      <c r="H4" s="1686"/>
      <c r="I4" s="1686"/>
      <c r="J4" s="1686"/>
      <c r="K4" s="1686"/>
      <c r="L4" s="1686"/>
      <c r="M4" s="1686"/>
      <c r="N4" s="1687"/>
    </row>
    <row r="5" spans="1:14" s="169" customFormat="1" ht="15" customHeight="1">
      <c r="A5" s="1671" t="s">
        <v>254</v>
      </c>
      <c r="B5" s="1672"/>
      <c r="C5" s="1673"/>
      <c r="D5" s="178">
        <f>SUM(D6,D32)</f>
        <v>0</v>
      </c>
      <c r="E5" s="178">
        <f>SUM(E6,E32)</f>
        <v>0</v>
      </c>
      <c r="F5" s="178">
        <f>E5-D5</f>
        <v>0</v>
      </c>
      <c r="G5" s="179"/>
      <c r="H5" s="180"/>
      <c r="I5" s="181"/>
      <c r="J5" s="182"/>
      <c r="K5" s="181"/>
      <c r="L5" s="183"/>
      <c r="M5" s="183"/>
      <c r="N5" s="184"/>
    </row>
    <row r="6" spans="1:14" s="169" customFormat="1" ht="15" customHeight="1">
      <c r="A6" s="185" t="s">
        <v>185</v>
      </c>
      <c r="B6" s="1674" t="s">
        <v>123</v>
      </c>
      <c r="C6" s="1675"/>
      <c r="D6" s="186">
        <f>SUM(D7,D22,D27)</f>
        <v>0</v>
      </c>
      <c r="E6" s="186">
        <f>SUM(E7,E22,E27)</f>
        <v>0</v>
      </c>
      <c r="F6" s="186">
        <f>E6-D6</f>
        <v>0</v>
      </c>
      <c r="G6" s="187"/>
      <c r="H6" s="188"/>
      <c r="I6" s="189"/>
      <c r="J6" s="190"/>
      <c r="K6" s="189"/>
      <c r="L6" s="191"/>
      <c r="M6" s="191"/>
      <c r="N6" s="192"/>
    </row>
    <row r="7" spans="1:14" ht="15" customHeight="1">
      <c r="A7" s="193"/>
      <c r="B7" s="194" t="s">
        <v>186</v>
      </c>
      <c r="C7" s="195" t="s">
        <v>201</v>
      </c>
      <c r="D7" s="142">
        <f>SUM(D8:D18)</f>
        <v>0</v>
      </c>
      <c r="E7" s="142">
        <f>SUM(E8:E18)</f>
        <v>0</v>
      </c>
      <c r="F7" s="196">
        <f>E7-D7</f>
        <v>0</v>
      </c>
      <c r="G7" s="197"/>
      <c r="H7" s="198"/>
      <c r="I7" s="199"/>
      <c r="J7" s="200"/>
      <c r="K7" s="199"/>
      <c r="L7" s="201"/>
      <c r="M7" s="201"/>
      <c r="N7" s="202"/>
    </row>
    <row r="8" spans="1:14" ht="15" customHeight="1">
      <c r="A8" s="193"/>
      <c r="B8" s="203"/>
      <c r="C8" s="204" t="s">
        <v>197</v>
      </c>
      <c r="D8" s="142">
        <v>0</v>
      </c>
      <c r="E8" s="142">
        <f>N9</f>
        <v>0</v>
      </c>
      <c r="F8" s="196">
        <f>E8-D8</f>
        <v>0</v>
      </c>
      <c r="G8" s="205"/>
      <c r="H8" s="206"/>
      <c r="I8" s="207"/>
      <c r="J8" s="208"/>
      <c r="K8" s="207"/>
      <c r="L8" s="209"/>
      <c r="M8" s="210"/>
      <c r="N8" s="211"/>
    </row>
    <row r="9" spans="1:14" ht="15" customHeight="1">
      <c r="A9" s="193"/>
      <c r="B9" s="203"/>
      <c r="C9" s="204"/>
      <c r="D9" s="142"/>
      <c r="E9" s="142"/>
      <c r="F9" s="196"/>
      <c r="G9" s="212" t="s">
        <v>172</v>
      </c>
      <c r="H9" s="198">
        <v>0</v>
      </c>
      <c r="I9" s="199" t="s">
        <v>42</v>
      </c>
      <c r="J9" s="213">
        <v>0</v>
      </c>
      <c r="K9" s="199" t="s">
        <v>42</v>
      </c>
      <c r="L9" s="201">
        <v>0</v>
      </c>
      <c r="M9" s="214" t="s">
        <v>36</v>
      </c>
      <c r="N9" s="215">
        <f>ROUNDUP(H9*J9*L9,-1)</f>
        <v>0</v>
      </c>
    </row>
    <row r="10" spans="1:14" ht="15" customHeight="1">
      <c r="A10" s="193"/>
      <c r="B10" s="203"/>
      <c r="C10" s="204" t="s">
        <v>151</v>
      </c>
      <c r="D10" s="142">
        <v>0</v>
      </c>
      <c r="E10" s="142">
        <f>N11</f>
        <v>0</v>
      </c>
      <c r="F10" s="196">
        <f>E10-D10</f>
        <v>0</v>
      </c>
      <c r="G10" s="216"/>
      <c r="H10" s="217"/>
      <c r="I10" s="218"/>
      <c r="J10" s="218"/>
      <c r="K10" s="219"/>
      <c r="L10" s="219"/>
      <c r="M10" s="214"/>
      <c r="N10" s="220"/>
    </row>
    <row r="11" spans="1:14" ht="15" customHeight="1">
      <c r="A11" s="193"/>
      <c r="B11" s="203"/>
      <c r="C11" s="204"/>
      <c r="D11" s="142"/>
      <c r="E11" s="142"/>
      <c r="F11" s="196"/>
      <c r="G11" s="216" t="s">
        <v>236</v>
      </c>
      <c r="H11" s="217">
        <f>N9</f>
        <v>0</v>
      </c>
      <c r="I11" s="218"/>
      <c r="J11" s="218" t="s">
        <v>42</v>
      </c>
      <c r="K11" s="219"/>
      <c r="L11" s="219">
        <v>12</v>
      </c>
      <c r="M11" s="214" t="s">
        <v>36</v>
      </c>
      <c r="N11" s="220">
        <f>ROUNDDOWN(H11*1/12,-1)</f>
        <v>0</v>
      </c>
    </row>
    <row r="12" spans="1:14" ht="14.25" customHeight="1">
      <c r="A12" s="193"/>
      <c r="B12" s="203"/>
      <c r="C12" s="204" t="s">
        <v>119</v>
      </c>
      <c r="D12" s="142">
        <v>0</v>
      </c>
      <c r="E12" s="142">
        <f>SUM(N13:N17)</f>
        <v>0</v>
      </c>
      <c r="F12" s="196">
        <f>E12-D12</f>
        <v>0</v>
      </c>
      <c r="G12" s="221"/>
      <c r="H12" s="198"/>
      <c r="I12" s="199"/>
      <c r="J12" s="1676"/>
      <c r="K12" s="1676"/>
      <c r="L12" s="1676"/>
      <c r="M12" s="214"/>
      <c r="N12" s="222"/>
    </row>
    <row r="13" spans="1:14" ht="14.25" customHeight="1">
      <c r="A13" s="193"/>
      <c r="B13" s="203"/>
      <c r="C13" s="223"/>
      <c r="D13" s="224"/>
      <c r="E13" s="224"/>
      <c r="F13" s="225"/>
      <c r="G13" s="216" t="s">
        <v>188</v>
      </c>
      <c r="H13" s="217">
        <f>N9</f>
        <v>0</v>
      </c>
      <c r="I13" s="218" t="s">
        <v>42</v>
      </c>
      <c r="J13" s="1609">
        <v>4.4999999999999998E-2</v>
      </c>
      <c r="K13" s="1609"/>
      <c r="L13" s="1609"/>
      <c r="M13" s="226" t="s">
        <v>36</v>
      </c>
      <c r="N13" s="227">
        <f>ROUNDDOWN((H13*J13),-1)</f>
        <v>0</v>
      </c>
    </row>
    <row r="14" spans="1:14" ht="14.25" customHeight="1">
      <c r="A14" s="193"/>
      <c r="B14" s="203"/>
      <c r="C14" s="223"/>
      <c r="D14" s="224"/>
      <c r="E14" s="224"/>
      <c r="F14" s="225"/>
      <c r="G14" s="228" t="s">
        <v>198</v>
      </c>
      <c r="H14" s="206">
        <v>0</v>
      </c>
      <c r="I14" s="207" t="s">
        <v>42</v>
      </c>
      <c r="J14" s="1605">
        <v>3.2300000000000002E-2</v>
      </c>
      <c r="K14" s="1605"/>
      <c r="L14" s="1605"/>
      <c r="M14" s="210" t="s">
        <v>36</v>
      </c>
      <c r="N14" s="229">
        <f>ROUNDDOWN((H14*J14),-1)</f>
        <v>0</v>
      </c>
    </row>
    <row r="15" spans="1:14" ht="14.25" customHeight="1">
      <c r="A15" s="193"/>
      <c r="B15" s="203"/>
      <c r="C15" s="223"/>
      <c r="D15" s="224"/>
      <c r="E15" s="224"/>
      <c r="F15" s="225"/>
      <c r="G15" s="104" t="s">
        <v>195</v>
      </c>
      <c r="H15" s="206">
        <v>0</v>
      </c>
      <c r="I15" s="207" t="s">
        <v>42</v>
      </c>
      <c r="J15" s="1605">
        <v>8.5099999999999995E-2</v>
      </c>
      <c r="K15" s="1605"/>
      <c r="L15" s="1605"/>
      <c r="M15" s="210" t="s">
        <v>36</v>
      </c>
      <c r="N15" s="229">
        <f>ROUNDDOWN((H15*J15),-1)</f>
        <v>0</v>
      </c>
    </row>
    <row r="16" spans="1:14" ht="14.25" customHeight="1">
      <c r="A16" s="193"/>
      <c r="B16" s="203"/>
      <c r="C16" s="223"/>
      <c r="D16" s="224"/>
      <c r="E16" s="224"/>
      <c r="F16" s="225"/>
      <c r="G16" s="104" t="s">
        <v>203</v>
      </c>
      <c r="H16" s="206">
        <v>0</v>
      </c>
      <c r="I16" s="207" t="s">
        <v>42</v>
      </c>
      <c r="J16" s="1605">
        <v>1.0500000000000001E-2</v>
      </c>
      <c r="K16" s="1605"/>
      <c r="L16" s="1605"/>
      <c r="M16" s="210" t="s">
        <v>36</v>
      </c>
      <c r="N16" s="229">
        <f>ROUNDDOWN((H16*J16),-1)</f>
        <v>0</v>
      </c>
    </row>
    <row r="17" spans="1:18" ht="14.25" customHeight="1">
      <c r="A17" s="193"/>
      <c r="B17" s="203"/>
      <c r="C17" s="230"/>
      <c r="D17" s="166"/>
      <c r="E17" s="166"/>
      <c r="F17" s="231"/>
      <c r="G17" s="104" t="s">
        <v>184</v>
      </c>
      <c r="H17" s="206">
        <v>0</v>
      </c>
      <c r="I17" s="232" t="s">
        <v>42</v>
      </c>
      <c r="J17" s="1605">
        <v>8.0999999999999996E-3</v>
      </c>
      <c r="K17" s="1605"/>
      <c r="L17" s="1605"/>
      <c r="M17" s="210" t="s">
        <v>36</v>
      </c>
      <c r="N17" s="229">
        <f>ROUNDDOWN((H17*J17),-1)</f>
        <v>0</v>
      </c>
    </row>
    <row r="18" spans="1:18" ht="15" customHeight="1">
      <c r="A18" s="193"/>
      <c r="B18" s="203"/>
      <c r="C18" s="233" t="s">
        <v>67</v>
      </c>
      <c r="D18" s="142">
        <v>0</v>
      </c>
      <c r="E18" s="142">
        <f>SUM(N19:N21)</f>
        <v>0</v>
      </c>
      <c r="F18" s="196">
        <f>E18-D18</f>
        <v>0</v>
      </c>
      <c r="G18" s="234"/>
      <c r="H18" s="217"/>
      <c r="I18" s="207"/>
      <c r="J18" s="235"/>
      <c r="K18" s="218"/>
      <c r="L18" s="236"/>
      <c r="M18" s="201"/>
      <c r="N18" s="237"/>
    </row>
    <row r="19" spans="1:18" ht="15" customHeight="1">
      <c r="A19" s="193"/>
      <c r="B19" s="203"/>
      <c r="C19" s="238"/>
      <c r="D19" s="239"/>
      <c r="E19" s="239"/>
      <c r="F19" s="240"/>
      <c r="G19" s="241" t="s">
        <v>81</v>
      </c>
      <c r="H19" s="217"/>
      <c r="I19" s="218" t="s">
        <v>42</v>
      </c>
      <c r="J19" s="242">
        <v>13</v>
      </c>
      <c r="K19" s="218" t="s">
        <v>42</v>
      </c>
      <c r="L19" s="236">
        <v>1</v>
      </c>
      <c r="M19" s="210" t="s">
        <v>36</v>
      </c>
      <c r="N19" s="243">
        <f>ROUNDUP(H19*J19*L19,-1)</f>
        <v>0</v>
      </c>
    </row>
    <row r="20" spans="1:18" ht="15" customHeight="1">
      <c r="A20" s="193"/>
      <c r="B20" s="203"/>
      <c r="C20" s="244"/>
      <c r="D20" s="224"/>
      <c r="E20" s="224"/>
      <c r="F20" s="225"/>
      <c r="G20" s="205" t="s">
        <v>89</v>
      </c>
      <c r="H20" s="206"/>
      <c r="I20" s="207" t="s">
        <v>42</v>
      </c>
      <c r="J20" s="208">
        <v>13</v>
      </c>
      <c r="K20" s="207" t="s">
        <v>42</v>
      </c>
      <c r="L20" s="209">
        <v>1</v>
      </c>
      <c r="M20" s="210" t="s">
        <v>36</v>
      </c>
      <c r="N20" s="211">
        <f>ROUNDUP(H20*J20*L20,-1)</f>
        <v>0</v>
      </c>
    </row>
    <row r="21" spans="1:18" ht="15" customHeight="1">
      <c r="A21" s="193"/>
      <c r="B21" s="203"/>
      <c r="C21" s="244"/>
      <c r="D21" s="224"/>
      <c r="E21" s="224"/>
      <c r="F21" s="225"/>
      <c r="G21" s="205" t="s">
        <v>18</v>
      </c>
      <c r="H21" s="206"/>
      <c r="I21" s="207" t="s">
        <v>42</v>
      </c>
      <c r="J21" s="245">
        <v>1</v>
      </c>
      <c r="K21" s="207" t="s">
        <v>42</v>
      </c>
      <c r="L21" s="246">
        <v>1</v>
      </c>
      <c r="M21" s="210" t="s">
        <v>36</v>
      </c>
      <c r="N21" s="211">
        <f>SUM(H21*J21*L21)</f>
        <v>0</v>
      </c>
    </row>
    <row r="22" spans="1:18" ht="15" customHeight="1">
      <c r="A22" s="193"/>
      <c r="B22" s="247" t="s">
        <v>116</v>
      </c>
      <c r="C22" s="248" t="s">
        <v>201</v>
      </c>
      <c r="D22" s="240">
        <f>SUM(D23:D25)</f>
        <v>0</v>
      </c>
      <c r="E22" s="240">
        <f>SUM(E23:E25)</f>
        <v>0</v>
      </c>
      <c r="F22" s="240">
        <f>E22-D22</f>
        <v>0</v>
      </c>
      <c r="G22" s="249"/>
      <c r="H22" s="217"/>
      <c r="I22" s="218"/>
      <c r="J22" s="235"/>
      <c r="K22" s="218"/>
      <c r="L22" s="236"/>
      <c r="M22" s="226"/>
      <c r="N22" s="250"/>
      <c r="Q22" s="251"/>
    </row>
    <row r="23" spans="1:18" ht="15" customHeight="1">
      <c r="A23" s="193"/>
      <c r="B23" s="252"/>
      <c r="C23" s="253" t="s">
        <v>110</v>
      </c>
      <c r="D23" s="142">
        <v>0</v>
      </c>
      <c r="E23" s="142">
        <f>N24</f>
        <v>0</v>
      </c>
      <c r="F23" s="196">
        <f>E23-D23</f>
        <v>0</v>
      </c>
      <c r="G23" s="212"/>
      <c r="H23" s="198"/>
      <c r="I23" s="199"/>
      <c r="J23" s="199"/>
      <c r="K23" s="199"/>
      <c r="L23" s="201"/>
      <c r="M23" s="214"/>
      <c r="N23" s="215"/>
      <c r="Q23" s="251"/>
    </row>
    <row r="24" spans="1:18" ht="15" customHeight="1">
      <c r="A24" s="193"/>
      <c r="B24" s="254"/>
      <c r="C24" s="255"/>
      <c r="D24" s="256"/>
      <c r="E24" s="256"/>
      <c r="F24" s="231"/>
      <c r="G24" s="212" t="s">
        <v>242</v>
      </c>
      <c r="H24" s="198"/>
      <c r="I24" s="199"/>
      <c r="J24" s="199" t="s">
        <v>42</v>
      </c>
      <c r="K24" s="199"/>
      <c r="L24" s="201">
        <v>10</v>
      </c>
      <c r="M24" s="214" t="s">
        <v>36</v>
      </c>
      <c r="N24" s="215">
        <f>H24*L24</f>
        <v>0</v>
      </c>
      <c r="O24" s="112"/>
      <c r="Q24" s="251"/>
    </row>
    <row r="25" spans="1:18" ht="15" customHeight="1">
      <c r="A25" s="193"/>
      <c r="B25" s="254"/>
      <c r="C25" s="255" t="s">
        <v>51</v>
      </c>
      <c r="D25" s="256">
        <v>0</v>
      </c>
      <c r="E25" s="256">
        <f>N26</f>
        <v>0</v>
      </c>
      <c r="F25" s="196">
        <f>E25-D25</f>
        <v>0</v>
      </c>
      <c r="G25" s="212"/>
      <c r="H25" s="198"/>
      <c r="I25" s="199"/>
      <c r="J25" s="213"/>
      <c r="K25" s="199"/>
      <c r="L25" s="201"/>
      <c r="M25" s="214"/>
      <c r="N25" s="215"/>
      <c r="R25" s="103"/>
    </row>
    <row r="26" spans="1:18" ht="15" customHeight="1">
      <c r="A26" s="193"/>
      <c r="B26" s="254"/>
      <c r="C26" s="255"/>
      <c r="D26" s="256"/>
      <c r="E26" s="256"/>
      <c r="F26" s="225"/>
      <c r="G26" s="205"/>
      <c r="H26" s="206"/>
      <c r="I26" s="207"/>
      <c r="J26" s="208"/>
      <c r="K26" s="207"/>
      <c r="L26" s="209"/>
      <c r="M26" s="210"/>
      <c r="N26" s="211"/>
      <c r="R26" s="103"/>
    </row>
    <row r="27" spans="1:18" ht="15" customHeight="1">
      <c r="A27" s="193"/>
      <c r="B27" s="257" t="s">
        <v>205</v>
      </c>
      <c r="C27" s="258" t="s">
        <v>201</v>
      </c>
      <c r="D27" s="142">
        <f>SUM(D28:D31)</f>
        <v>0</v>
      </c>
      <c r="E27" s="142">
        <f>SUM(E28:E30)</f>
        <v>0</v>
      </c>
      <c r="F27" s="240">
        <f>E27-D27</f>
        <v>0</v>
      </c>
      <c r="G27" s="212"/>
      <c r="H27" s="198"/>
      <c r="I27" s="199"/>
      <c r="J27" s="199"/>
      <c r="K27" s="199"/>
      <c r="L27" s="201"/>
      <c r="M27" s="214"/>
      <c r="N27" s="259"/>
    </row>
    <row r="28" spans="1:18" ht="15" customHeight="1">
      <c r="A28" s="193"/>
      <c r="B28" s="254"/>
      <c r="C28" s="260" t="s">
        <v>176</v>
      </c>
      <c r="D28" s="142">
        <v>0</v>
      </c>
      <c r="E28" s="142">
        <f>SUM(N29:N29)</f>
        <v>0</v>
      </c>
      <c r="F28" s="196">
        <f>E28-D28</f>
        <v>0</v>
      </c>
      <c r="G28" s="212"/>
      <c r="H28" s="198"/>
      <c r="I28" s="199"/>
      <c r="J28" s="199"/>
      <c r="K28" s="199"/>
      <c r="L28" s="201"/>
      <c r="M28" s="214"/>
      <c r="N28" s="259"/>
    </row>
    <row r="29" spans="1:18" ht="15" customHeight="1">
      <c r="A29" s="193"/>
      <c r="B29" s="252"/>
      <c r="C29" s="261"/>
      <c r="D29" s="224"/>
      <c r="E29" s="224"/>
      <c r="F29" s="225"/>
      <c r="G29" s="205" t="s">
        <v>54</v>
      </c>
      <c r="H29" s="206"/>
      <c r="I29" s="207" t="s">
        <v>42</v>
      </c>
      <c r="J29" s="245"/>
      <c r="K29" s="207"/>
      <c r="L29" s="246">
        <v>12</v>
      </c>
      <c r="M29" s="210" t="s">
        <v>36</v>
      </c>
      <c r="N29" s="211">
        <f>H29*L29</f>
        <v>0</v>
      </c>
    </row>
    <row r="30" spans="1:18" ht="15" customHeight="1">
      <c r="A30" s="193"/>
      <c r="B30" s="254"/>
      <c r="C30" s="260" t="s">
        <v>113</v>
      </c>
      <c r="D30" s="142">
        <v>0</v>
      </c>
      <c r="E30" s="142">
        <f>SUM(N31:N31)</f>
        <v>0</v>
      </c>
      <c r="F30" s="196">
        <f>E30-D30</f>
        <v>0</v>
      </c>
      <c r="G30" s="212"/>
      <c r="H30" s="198"/>
      <c r="I30" s="199"/>
      <c r="J30" s="199"/>
      <c r="K30" s="199"/>
      <c r="L30" s="201"/>
      <c r="M30" s="214"/>
      <c r="N30" s="259"/>
    </row>
    <row r="31" spans="1:18" ht="15" customHeight="1">
      <c r="A31" s="193"/>
      <c r="B31" s="262"/>
      <c r="C31" s="261"/>
      <c r="D31" s="224"/>
      <c r="E31" s="224"/>
      <c r="F31" s="225"/>
      <c r="G31" s="205" t="s">
        <v>93</v>
      </c>
      <c r="H31" s="206"/>
      <c r="I31" s="207" t="s">
        <v>42</v>
      </c>
      <c r="J31" s="245"/>
      <c r="K31" s="207"/>
      <c r="L31" s="246">
        <v>4</v>
      </c>
      <c r="M31" s="210" t="s">
        <v>36</v>
      </c>
      <c r="N31" s="211">
        <f>H31*L31</f>
        <v>0</v>
      </c>
    </row>
    <row r="32" spans="1:18" s="169" customFormat="1" ht="15" customHeight="1">
      <c r="A32" s="263" t="s">
        <v>227</v>
      </c>
      <c r="B32" s="1669" t="s">
        <v>193</v>
      </c>
      <c r="C32" s="1670"/>
      <c r="D32" s="264">
        <f>SUM(D33)</f>
        <v>0</v>
      </c>
      <c r="E32" s="264">
        <f>SUM(E33)</f>
        <v>0</v>
      </c>
      <c r="F32" s="264">
        <f>E32-D32</f>
        <v>0</v>
      </c>
      <c r="G32" s="265"/>
      <c r="H32" s="266"/>
      <c r="I32" s="267"/>
      <c r="J32" s="268"/>
      <c r="K32" s="267"/>
      <c r="L32" s="269"/>
      <c r="M32" s="270"/>
      <c r="N32" s="271"/>
    </row>
    <row r="33" spans="1:15" ht="15" customHeight="1">
      <c r="A33" s="272"/>
      <c r="B33" s="273" t="s">
        <v>221</v>
      </c>
      <c r="C33" s="258" t="s">
        <v>189</v>
      </c>
      <c r="D33" s="142">
        <f>SUM(D34:D37)</f>
        <v>0</v>
      </c>
      <c r="E33" s="142">
        <f>SUM(E34:E37)</f>
        <v>0</v>
      </c>
      <c r="F33" s="142">
        <f>E33-D33</f>
        <v>0</v>
      </c>
      <c r="G33" s="109"/>
      <c r="H33" s="110"/>
      <c r="I33" s="111"/>
      <c r="J33" s="274"/>
      <c r="K33" s="111"/>
      <c r="L33" s="275"/>
      <c r="M33" s="108"/>
      <c r="N33" s="276"/>
    </row>
    <row r="34" spans="1:15" ht="15" customHeight="1">
      <c r="A34" s="277"/>
      <c r="B34" s="254"/>
      <c r="C34" s="204" t="s">
        <v>65</v>
      </c>
      <c r="D34" s="142">
        <v>0</v>
      </c>
      <c r="E34" s="142">
        <f>N35</f>
        <v>0</v>
      </c>
      <c r="F34" s="196">
        <f>E34-D34</f>
        <v>0</v>
      </c>
      <c r="G34" s="109"/>
      <c r="H34" s="110"/>
      <c r="I34" s="111"/>
      <c r="J34" s="111"/>
      <c r="K34" s="111"/>
      <c r="L34" s="106"/>
      <c r="M34" s="105"/>
      <c r="N34" s="278"/>
    </row>
    <row r="35" spans="1:15" ht="15" customHeight="1">
      <c r="A35" s="277"/>
      <c r="B35" s="254"/>
      <c r="C35" s="279"/>
      <c r="D35" s="239"/>
      <c r="E35" s="142"/>
      <c r="F35" s="196"/>
      <c r="G35" s="280" t="s">
        <v>14</v>
      </c>
      <c r="H35" s="281">
        <v>0</v>
      </c>
      <c r="I35" s="282"/>
      <c r="J35" s="283"/>
      <c r="K35" s="282" t="s">
        <v>42</v>
      </c>
      <c r="L35" s="284">
        <v>1</v>
      </c>
      <c r="M35" s="285" t="s">
        <v>36</v>
      </c>
      <c r="N35" s="286">
        <f>SUM(H35*L35)</f>
        <v>0</v>
      </c>
      <c r="O35" s="112"/>
    </row>
    <row r="36" spans="1:15" ht="15" customHeight="1">
      <c r="A36" s="277"/>
      <c r="B36" s="254"/>
      <c r="C36" s="279" t="s">
        <v>132</v>
      </c>
      <c r="D36" s="287">
        <v>0</v>
      </c>
      <c r="E36" s="287">
        <v>0</v>
      </c>
      <c r="F36" s="288">
        <v>0</v>
      </c>
      <c r="G36" s="280"/>
      <c r="H36" s="281"/>
      <c r="I36" s="282"/>
      <c r="J36" s="283"/>
      <c r="K36" s="282"/>
      <c r="L36" s="284"/>
      <c r="M36" s="285"/>
      <c r="N36" s="286"/>
    </row>
    <row r="37" spans="1:15" ht="15" customHeight="1">
      <c r="A37" s="289"/>
      <c r="B37" s="290"/>
      <c r="C37" s="291" t="s">
        <v>68</v>
      </c>
      <c r="D37" s="292">
        <v>0</v>
      </c>
      <c r="E37" s="292">
        <v>0</v>
      </c>
      <c r="F37" s="293">
        <f>E37-D37</f>
        <v>0</v>
      </c>
      <c r="G37" s="294"/>
      <c r="H37" s="295"/>
      <c r="I37" s="296"/>
      <c r="J37" s="296"/>
      <c r="K37" s="296"/>
      <c r="L37" s="297"/>
      <c r="M37" s="298"/>
      <c r="N37" s="299"/>
    </row>
    <row r="38" spans="1:15">
      <c r="A38" s="300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</row>
  </sheetData>
  <mergeCells count="16">
    <mergeCell ref="A1:N1"/>
    <mergeCell ref="M2:N2"/>
    <mergeCell ref="A3:C3"/>
    <mergeCell ref="F3:F4"/>
    <mergeCell ref="G3:N4"/>
    <mergeCell ref="E3:E4"/>
    <mergeCell ref="D3:D4"/>
    <mergeCell ref="J16:L16"/>
    <mergeCell ref="J17:L17"/>
    <mergeCell ref="B32:C32"/>
    <mergeCell ref="A5:C5"/>
    <mergeCell ref="B6:C6"/>
    <mergeCell ref="J12:L12"/>
    <mergeCell ref="J13:L13"/>
    <mergeCell ref="J14:L14"/>
    <mergeCell ref="J15:L15"/>
  </mergeCells>
  <phoneticPr fontId="54" type="noConversion"/>
  <printOptions horizontalCentered="1"/>
  <pageMargins left="0.25" right="0.25" top="0.75" bottom="0.75" header="0.30000001192092896" footer="0.30000001192092896"/>
  <pageSetup paperSize="9" scale="7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4DDB5-DB1C-4752-862C-6B72E74E9C6D}">
  <sheetPr>
    <pageSetUpPr fitToPage="1"/>
  </sheetPr>
  <dimension ref="A1:O51"/>
  <sheetViews>
    <sheetView view="pageBreakPreview" topLeftCell="A7" zoomScale="115" zoomScaleNormal="85" zoomScaleSheetLayoutView="115" workbookViewId="0">
      <selection activeCell="N20" sqref="N20"/>
    </sheetView>
  </sheetViews>
  <sheetFormatPr defaultColWidth="8.75" defaultRowHeight="16.5"/>
  <cols>
    <col min="1" max="2" width="8.75" style="120"/>
    <col min="3" max="3" width="10.75" style="120" customWidth="1"/>
    <col min="4" max="6" width="14.625" style="120" customWidth="1"/>
    <col min="7" max="7" width="10.375" style="120" bestFit="1" customWidth="1"/>
    <col min="8" max="8" width="11.375" style="120" bestFit="1" customWidth="1"/>
    <col min="9" max="9" width="11.875" style="120" customWidth="1"/>
    <col min="10" max="12" width="14.625" style="120" customWidth="1"/>
    <col min="13" max="14" width="11.625" style="120" bestFit="1" customWidth="1"/>
    <col min="15" max="15" width="14.625" style="120" bestFit="1" customWidth="1"/>
    <col min="16" max="16384" width="8.75" style="120"/>
  </cols>
  <sheetData>
    <row r="1" spans="1:15" ht="35.1" customHeight="1">
      <c r="A1" s="1531" t="s">
        <v>283</v>
      </c>
      <c r="B1" s="1531"/>
      <c r="C1" s="1531"/>
      <c r="D1" s="1531"/>
      <c r="E1" s="1531"/>
      <c r="F1" s="1531"/>
      <c r="G1" s="1531"/>
      <c r="H1" s="1531"/>
      <c r="I1" s="1531"/>
      <c r="J1" s="1531"/>
      <c r="K1" s="1531"/>
      <c r="L1" s="1531"/>
    </row>
    <row r="2" spans="1:15" ht="15" customHeight="1">
      <c r="A2" s="1469"/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</row>
    <row r="3" spans="1:15" ht="15" customHeight="1" thickBot="1">
      <c r="A3" s="1348" t="s">
        <v>300</v>
      </c>
      <c r="B3" s="5"/>
      <c r="C3" s="6"/>
      <c r="D3" s="7"/>
      <c r="E3" s="7"/>
      <c r="F3" s="7"/>
      <c r="G3" s="6"/>
      <c r="H3" s="8"/>
      <c r="I3" s="9"/>
      <c r="J3" s="9"/>
      <c r="K3" s="10"/>
      <c r="L3" s="11" t="s">
        <v>75</v>
      </c>
    </row>
    <row r="4" spans="1:15" ht="15" customHeight="1" thickBot="1">
      <c r="A4" s="1532" t="s">
        <v>76</v>
      </c>
      <c r="B4" s="1533"/>
      <c r="C4" s="1533"/>
      <c r="D4" s="1533"/>
      <c r="E4" s="1533"/>
      <c r="F4" s="1534"/>
      <c r="G4" s="1532" t="s">
        <v>73</v>
      </c>
      <c r="H4" s="1533"/>
      <c r="I4" s="1533"/>
      <c r="J4" s="1533"/>
      <c r="K4" s="1533"/>
      <c r="L4" s="1534"/>
    </row>
    <row r="5" spans="1:15" ht="15" customHeight="1">
      <c r="A5" s="1535" t="s">
        <v>192</v>
      </c>
      <c r="B5" s="1536"/>
      <c r="C5" s="1536"/>
      <c r="D5" s="1537" t="s">
        <v>297</v>
      </c>
      <c r="E5" s="1539" t="s">
        <v>299</v>
      </c>
      <c r="F5" s="1541" t="s">
        <v>293</v>
      </c>
      <c r="G5" s="1535" t="s">
        <v>192</v>
      </c>
      <c r="H5" s="1536"/>
      <c r="I5" s="1536"/>
      <c r="J5" s="1537" t="s">
        <v>297</v>
      </c>
      <c r="K5" s="1539" t="s">
        <v>298</v>
      </c>
      <c r="L5" s="1541" t="s">
        <v>293</v>
      </c>
    </row>
    <row r="6" spans="1:15" ht="15" customHeight="1" thickBot="1">
      <c r="A6" s="604" t="s">
        <v>0</v>
      </c>
      <c r="B6" s="605" t="s">
        <v>2</v>
      </c>
      <c r="C6" s="605" t="s">
        <v>1</v>
      </c>
      <c r="D6" s="1538"/>
      <c r="E6" s="1540"/>
      <c r="F6" s="1542"/>
      <c r="G6" s="604" t="s">
        <v>0</v>
      </c>
      <c r="H6" s="605" t="s">
        <v>2</v>
      </c>
      <c r="I6" s="605" t="s">
        <v>1</v>
      </c>
      <c r="J6" s="1538"/>
      <c r="K6" s="1540"/>
      <c r="L6" s="1542"/>
    </row>
    <row r="7" spans="1:15" ht="15" customHeight="1">
      <c r="A7" s="1546" t="s">
        <v>251</v>
      </c>
      <c r="B7" s="1547"/>
      <c r="C7" s="1548"/>
      <c r="D7" s="12">
        <f>D8+D11+D14+D20+D24+D28+D32+D37</f>
        <v>1377711000</v>
      </c>
      <c r="E7" s="12">
        <f>E8+E11+E14+E20+E24+E28+E32+E37</f>
        <v>1438547000</v>
      </c>
      <c r="F7" s="1342">
        <f t="shared" ref="F7:F40" si="0">E7-D7</f>
        <v>60836000</v>
      </c>
      <c r="G7" s="1549" t="s">
        <v>251</v>
      </c>
      <c r="H7" s="1550"/>
      <c r="I7" s="1550"/>
      <c r="J7" s="13">
        <f>J8+J27+J32+J37+J44+J47</f>
        <v>1377711000</v>
      </c>
      <c r="K7" s="13">
        <f>K8+K27+K32+K36+K39+K43+K46</f>
        <v>1438547000</v>
      </c>
      <c r="L7" s="607">
        <f t="shared" ref="L7:L49" si="1">K7-J7</f>
        <v>60836000</v>
      </c>
      <c r="O7" s="1421"/>
    </row>
    <row r="8" spans="1:15" ht="15" customHeight="1">
      <c r="A8" s="14" t="s">
        <v>264</v>
      </c>
      <c r="B8" s="1551" t="s">
        <v>244</v>
      </c>
      <c r="C8" s="1551"/>
      <c r="D8" s="15">
        <f t="shared" ref="D8:E9" si="2">SUM(D9)</f>
        <v>0</v>
      </c>
      <c r="E8" s="15">
        <f t="shared" si="2"/>
        <v>0</v>
      </c>
      <c r="F8" s="1343">
        <f t="shared" si="0"/>
        <v>0</v>
      </c>
      <c r="G8" s="16" t="s">
        <v>228</v>
      </c>
      <c r="H8" s="1551" t="s">
        <v>193</v>
      </c>
      <c r="I8" s="1551"/>
      <c r="J8" s="17">
        <f>J9+J15+J19</f>
        <v>772151000</v>
      </c>
      <c r="K8" s="17">
        <f>K9+K15+K19</f>
        <v>772950630</v>
      </c>
      <c r="L8" s="608">
        <f t="shared" si="1"/>
        <v>799630</v>
      </c>
      <c r="O8" s="1421"/>
    </row>
    <row r="9" spans="1:15" ht="15" customHeight="1">
      <c r="A9" s="18"/>
      <c r="B9" s="19" t="s">
        <v>249</v>
      </c>
      <c r="C9" s="20" t="s">
        <v>189</v>
      </c>
      <c r="D9" s="15">
        <f t="shared" si="2"/>
        <v>0</v>
      </c>
      <c r="E9" s="15">
        <f t="shared" si="2"/>
        <v>0</v>
      </c>
      <c r="F9" s="1343">
        <f t="shared" si="0"/>
        <v>0</v>
      </c>
      <c r="G9" s="21"/>
      <c r="H9" s="22" t="s">
        <v>186</v>
      </c>
      <c r="I9" s="20" t="s">
        <v>189</v>
      </c>
      <c r="J9" s="23">
        <f>SUM(J10:J14)</f>
        <v>664334612</v>
      </c>
      <c r="K9" s="23">
        <f>SUM(K10:K14)</f>
        <v>664334612</v>
      </c>
      <c r="L9" s="606">
        <f t="shared" si="1"/>
        <v>0</v>
      </c>
      <c r="O9" s="1421"/>
    </row>
    <row r="10" spans="1:15" ht="15" customHeight="1">
      <c r="A10" s="18"/>
      <c r="B10" s="24"/>
      <c r="C10" s="25" t="s">
        <v>105</v>
      </c>
      <c r="D10" s="570">
        <v>0</v>
      </c>
      <c r="E10" s="570">
        <f>세입예산서!E8</f>
        <v>0</v>
      </c>
      <c r="F10" s="1344">
        <f t="shared" si="0"/>
        <v>0</v>
      </c>
      <c r="G10" s="26"/>
      <c r="H10" s="27"/>
      <c r="I10" s="1398" t="s">
        <v>202</v>
      </c>
      <c r="J10" s="33">
        <v>462344000</v>
      </c>
      <c r="K10" s="33">
        <v>450863735</v>
      </c>
      <c r="L10" s="606">
        <f t="shared" si="1"/>
        <v>-11480265</v>
      </c>
      <c r="O10" s="1421"/>
    </row>
    <row r="11" spans="1:15" ht="15" customHeight="1">
      <c r="A11" s="29" t="s">
        <v>212</v>
      </c>
      <c r="B11" s="1551" t="s">
        <v>244</v>
      </c>
      <c r="C11" s="1551"/>
      <c r="D11" s="15">
        <v>0</v>
      </c>
      <c r="E11" s="15">
        <v>0</v>
      </c>
      <c r="F11" s="1343">
        <f t="shared" si="0"/>
        <v>0</v>
      </c>
      <c r="G11" s="26"/>
      <c r="H11" s="30"/>
      <c r="I11" s="28" t="s">
        <v>197</v>
      </c>
      <c r="J11" s="31">
        <v>95730970</v>
      </c>
      <c r="K11" s="31">
        <v>90017188</v>
      </c>
      <c r="L11" s="606">
        <f t="shared" si="1"/>
        <v>-5713782</v>
      </c>
      <c r="O11" s="1421"/>
    </row>
    <row r="12" spans="1:15" ht="15" customHeight="1">
      <c r="A12" s="18"/>
      <c r="B12" s="19" t="s">
        <v>52</v>
      </c>
      <c r="C12" s="20" t="s">
        <v>189</v>
      </c>
      <c r="D12" s="15">
        <v>0</v>
      </c>
      <c r="E12" s="15">
        <v>0</v>
      </c>
      <c r="F12" s="1343">
        <f t="shared" si="0"/>
        <v>0</v>
      </c>
      <c r="G12" s="26"/>
      <c r="H12" s="32"/>
      <c r="I12" s="28" t="s">
        <v>151</v>
      </c>
      <c r="J12" s="33">
        <v>46506250</v>
      </c>
      <c r="K12" s="31">
        <v>66138639</v>
      </c>
      <c r="L12" s="606">
        <f t="shared" si="1"/>
        <v>19632389</v>
      </c>
      <c r="O12" s="1421"/>
    </row>
    <row r="13" spans="1:15" ht="15" customHeight="1">
      <c r="A13" s="18"/>
      <c r="B13" s="24"/>
      <c r="C13" s="25" t="s">
        <v>102</v>
      </c>
      <c r="D13" s="15">
        <v>0</v>
      </c>
      <c r="E13" s="15">
        <v>0</v>
      </c>
      <c r="F13" s="1343">
        <f t="shared" si="0"/>
        <v>0</v>
      </c>
      <c r="G13" s="26"/>
      <c r="H13" s="32"/>
      <c r="I13" s="28" t="s">
        <v>143</v>
      </c>
      <c r="J13" s="34">
        <v>59753392</v>
      </c>
      <c r="K13" s="34">
        <v>57315050</v>
      </c>
      <c r="L13" s="606">
        <f t="shared" si="1"/>
        <v>-2438342</v>
      </c>
      <c r="O13" s="1421"/>
    </row>
    <row r="14" spans="1:15" ht="15" customHeight="1">
      <c r="A14" s="14" t="s">
        <v>77</v>
      </c>
      <c r="B14" s="1551" t="s">
        <v>244</v>
      </c>
      <c r="C14" s="1551"/>
      <c r="D14" s="35">
        <f>D15</f>
        <v>779998000</v>
      </c>
      <c r="E14" s="35">
        <f>E15</f>
        <v>779998000</v>
      </c>
      <c r="F14" s="1343">
        <f t="shared" si="0"/>
        <v>0</v>
      </c>
      <c r="G14" s="26"/>
      <c r="H14" s="36"/>
      <c r="I14" s="37" t="s">
        <v>127</v>
      </c>
      <c r="J14" s="23">
        <v>0</v>
      </c>
      <c r="K14" s="23"/>
      <c r="L14" s="606">
        <f t="shared" si="1"/>
        <v>0</v>
      </c>
      <c r="O14" s="1421"/>
    </row>
    <row r="15" spans="1:15" ht="15" customHeight="1">
      <c r="A15" s="38"/>
      <c r="B15" s="22" t="s">
        <v>234</v>
      </c>
      <c r="C15" s="20" t="s">
        <v>189</v>
      </c>
      <c r="D15" s="571">
        <f>SUM(D16:D19)</f>
        <v>779998000</v>
      </c>
      <c r="E15" s="571">
        <f>SUM(E16:E19)</f>
        <v>779998000</v>
      </c>
      <c r="F15" s="1344">
        <f t="shared" si="0"/>
        <v>0</v>
      </c>
      <c r="G15" s="26"/>
      <c r="H15" s="22" t="s">
        <v>116</v>
      </c>
      <c r="I15" s="20" t="s">
        <v>189</v>
      </c>
      <c r="J15" s="23">
        <f>SUM(J16:J18)</f>
        <v>8680000</v>
      </c>
      <c r="K15" s="23">
        <v>6280000</v>
      </c>
      <c r="L15" s="606">
        <f t="shared" si="1"/>
        <v>-2400000</v>
      </c>
      <c r="O15" s="1421"/>
    </row>
    <row r="16" spans="1:15" ht="15" customHeight="1">
      <c r="A16" s="39"/>
      <c r="B16" s="40"/>
      <c r="C16" s="37" t="s">
        <v>107</v>
      </c>
      <c r="D16" s="571">
        <v>0</v>
      </c>
      <c r="E16" s="571">
        <f>세입예산서!E15</f>
        <v>0</v>
      </c>
      <c r="F16" s="1344">
        <f t="shared" si="0"/>
        <v>0</v>
      </c>
      <c r="G16" s="26"/>
      <c r="H16" s="40"/>
      <c r="I16" s="37" t="s">
        <v>124</v>
      </c>
      <c r="J16" s="33">
        <v>4200000</v>
      </c>
      <c r="K16" s="33">
        <v>4200000</v>
      </c>
      <c r="L16" s="606">
        <f t="shared" si="1"/>
        <v>0</v>
      </c>
      <c r="O16" s="1421"/>
    </row>
    <row r="17" spans="1:15" ht="15" customHeight="1">
      <c r="A17" s="39"/>
      <c r="B17" s="41"/>
      <c r="C17" s="42" t="s">
        <v>70</v>
      </c>
      <c r="D17" s="43">
        <v>247821000</v>
      </c>
      <c r="E17" s="43">
        <v>247821000</v>
      </c>
      <c r="F17" s="1344">
        <f t="shared" si="0"/>
        <v>0</v>
      </c>
      <c r="G17" s="26"/>
      <c r="H17" s="41"/>
      <c r="I17" s="37" t="s">
        <v>51</v>
      </c>
      <c r="J17" s="33">
        <v>0</v>
      </c>
      <c r="K17" s="33"/>
      <c r="L17" s="606">
        <f t="shared" si="1"/>
        <v>0</v>
      </c>
      <c r="O17" s="1421"/>
    </row>
    <row r="18" spans="1:15" ht="15" customHeight="1">
      <c r="A18" s="39"/>
      <c r="B18" s="41"/>
      <c r="C18" s="42" t="s">
        <v>86</v>
      </c>
      <c r="D18" s="43">
        <v>532177000</v>
      </c>
      <c r="E18" s="43">
        <v>532177000</v>
      </c>
      <c r="F18" s="1344">
        <f t="shared" si="0"/>
        <v>0</v>
      </c>
      <c r="G18" s="26"/>
      <c r="H18" s="41"/>
      <c r="I18" s="37" t="s">
        <v>207</v>
      </c>
      <c r="J18" s="44">
        <v>4480000</v>
      </c>
      <c r="K18" s="44">
        <v>2080000</v>
      </c>
      <c r="L18" s="606">
        <f t="shared" si="1"/>
        <v>-2400000</v>
      </c>
      <c r="O18" s="1421"/>
    </row>
    <row r="19" spans="1:15" ht="15" customHeight="1">
      <c r="A19" s="18"/>
      <c r="B19" s="45"/>
      <c r="C19" s="42" t="s">
        <v>90</v>
      </c>
      <c r="D19" s="571"/>
      <c r="E19" s="571"/>
      <c r="F19" s="1344">
        <f t="shared" si="0"/>
        <v>0</v>
      </c>
      <c r="G19" s="26"/>
      <c r="H19" s="46" t="s">
        <v>205</v>
      </c>
      <c r="I19" s="20" t="s">
        <v>189</v>
      </c>
      <c r="J19" s="23">
        <f>SUM(J20:J26)</f>
        <v>99136388</v>
      </c>
      <c r="K19" s="23">
        <v>102336018</v>
      </c>
      <c r="L19" s="606">
        <f t="shared" si="1"/>
        <v>3199630</v>
      </c>
      <c r="O19" s="1421"/>
    </row>
    <row r="20" spans="1:15" ht="15" customHeight="1">
      <c r="A20" s="14" t="s">
        <v>91</v>
      </c>
      <c r="B20" s="1551" t="s">
        <v>189</v>
      </c>
      <c r="C20" s="1551"/>
      <c r="D20" s="35">
        <f>D21</f>
        <v>463509000</v>
      </c>
      <c r="E20" s="35">
        <f>E21</f>
        <v>463509000</v>
      </c>
      <c r="F20" s="1343">
        <f t="shared" si="0"/>
        <v>0</v>
      </c>
      <c r="G20" s="26"/>
      <c r="H20" s="47"/>
      <c r="I20" s="48" t="s">
        <v>190</v>
      </c>
      <c r="J20" s="33">
        <v>23400000</v>
      </c>
      <c r="K20" s="33">
        <v>23400000</v>
      </c>
      <c r="L20" s="606">
        <f t="shared" si="1"/>
        <v>0</v>
      </c>
      <c r="O20" s="1421"/>
    </row>
    <row r="21" spans="1:15" ht="15" customHeight="1">
      <c r="A21" s="38"/>
      <c r="B21" s="22" t="s">
        <v>97</v>
      </c>
      <c r="C21" s="49" t="s">
        <v>189</v>
      </c>
      <c r="D21" s="569">
        <f>SUM(D22:D23)</f>
        <v>463509000</v>
      </c>
      <c r="E21" s="569">
        <v>463509000</v>
      </c>
      <c r="F21" s="1344">
        <f t="shared" si="0"/>
        <v>0</v>
      </c>
      <c r="G21" s="26"/>
      <c r="H21" s="50"/>
      <c r="I21" s="51" t="s">
        <v>176</v>
      </c>
      <c r="J21" s="33">
        <v>28845388</v>
      </c>
      <c r="K21" s="33">
        <v>29929888</v>
      </c>
      <c r="L21" s="606">
        <f t="shared" si="1"/>
        <v>1084500</v>
      </c>
      <c r="O21" s="1421"/>
    </row>
    <row r="22" spans="1:15" ht="15" customHeight="1">
      <c r="A22" s="52"/>
      <c r="B22" s="53"/>
      <c r="C22" s="37" t="s">
        <v>85</v>
      </c>
      <c r="D22" s="571">
        <v>433509000</v>
      </c>
      <c r="E22" s="571">
        <v>433509000</v>
      </c>
      <c r="F22" s="1344">
        <f t="shared" si="0"/>
        <v>0</v>
      </c>
      <c r="G22" s="26"/>
      <c r="H22" s="41"/>
      <c r="I22" s="48" t="s">
        <v>134</v>
      </c>
      <c r="J22" s="33">
        <v>8888000</v>
      </c>
      <c r="K22" s="33">
        <v>8888000</v>
      </c>
      <c r="L22" s="606">
        <f t="shared" si="1"/>
        <v>0</v>
      </c>
      <c r="O22" s="1421"/>
    </row>
    <row r="23" spans="1:15" ht="15" customHeight="1">
      <c r="A23" s="54"/>
      <c r="B23" s="55"/>
      <c r="C23" s="28" t="s">
        <v>94</v>
      </c>
      <c r="D23" s="571">
        <v>30000000</v>
      </c>
      <c r="E23" s="571">
        <v>30000000</v>
      </c>
      <c r="F23" s="1344">
        <f t="shared" si="0"/>
        <v>0</v>
      </c>
      <c r="G23" s="26"/>
      <c r="H23" s="41"/>
      <c r="I23" s="48" t="s">
        <v>113</v>
      </c>
      <c r="J23" s="33">
        <v>11210000</v>
      </c>
      <c r="K23" s="33">
        <v>11210000</v>
      </c>
      <c r="L23" s="606">
        <f t="shared" si="1"/>
        <v>0</v>
      </c>
      <c r="O23" s="1421"/>
    </row>
    <row r="24" spans="1:15" ht="15" customHeight="1">
      <c r="A24" s="56" t="s">
        <v>218</v>
      </c>
      <c r="B24" s="1551" t="s">
        <v>189</v>
      </c>
      <c r="C24" s="1551"/>
      <c r="D24" s="63">
        <v>0</v>
      </c>
      <c r="E24" s="63">
        <v>0</v>
      </c>
      <c r="F24" s="1343">
        <f t="shared" si="0"/>
        <v>0</v>
      </c>
      <c r="G24" s="26"/>
      <c r="H24" s="41"/>
      <c r="I24" s="57" t="s">
        <v>217</v>
      </c>
      <c r="J24" s="58">
        <v>15760000</v>
      </c>
      <c r="K24" s="58">
        <v>15760000</v>
      </c>
      <c r="L24" s="606">
        <f t="shared" si="1"/>
        <v>0</v>
      </c>
      <c r="O24" s="1421"/>
    </row>
    <row r="25" spans="1:15" ht="15" customHeight="1">
      <c r="A25" s="52"/>
      <c r="B25" s="36" t="s">
        <v>213</v>
      </c>
      <c r="C25" s="49" t="s">
        <v>189</v>
      </c>
      <c r="D25" s="571">
        <v>0</v>
      </c>
      <c r="E25" s="571">
        <v>0</v>
      </c>
      <c r="F25" s="1344">
        <f t="shared" si="0"/>
        <v>0</v>
      </c>
      <c r="G25" s="26"/>
      <c r="H25" s="41"/>
      <c r="I25" s="57" t="s">
        <v>266</v>
      </c>
      <c r="J25" s="33"/>
      <c r="K25" s="33"/>
      <c r="L25" s="606">
        <f t="shared" si="1"/>
        <v>0</v>
      </c>
      <c r="O25" s="1421"/>
    </row>
    <row r="26" spans="1:15" ht="15" customHeight="1">
      <c r="A26" s="52"/>
      <c r="B26" s="59"/>
      <c r="C26" s="28" t="s">
        <v>69</v>
      </c>
      <c r="D26" s="571">
        <v>0</v>
      </c>
      <c r="E26" s="571">
        <v>0</v>
      </c>
      <c r="F26" s="1344">
        <f t="shared" si="0"/>
        <v>0</v>
      </c>
      <c r="G26" s="26"/>
      <c r="H26" s="45"/>
      <c r="I26" s="48" t="s">
        <v>80</v>
      </c>
      <c r="J26" s="33">
        <v>11033000</v>
      </c>
      <c r="K26" s="33">
        <v>13148130</v>
      </c>
      <c r="L26" s="606">
        <f t="shared" si="1"/>
        <v>2115130</v>
      </c>
      <c r="O26" s="1421"/>
    </row>
    <row r="27" spans="1:15" ht="15" customHeight="1">
      <c r="A27" s="54"/>
      <c r="B27" s="55"/>
      <c r="C27" s="37" t="s">
        <v>79</v>
      </c>
      <c r="D27" s="571">
        <v>0</v>
      </c>
      <c r="E27" s="571">
        <v>0</v>
      </c>
      <c r="F27" s="1344">
        <f t="shared" si="0"/>
        <v>0</v>
      </c>
      <c r="G27" s="60" t="s">
        <v>122</v>
      </c>
      <c r="H27" s="1544" t="s">
        <v>193</v>
      </c>
      <c r="I27" s="1545"/>
      <c r="J27" s="61">
        <f>J28</f>
        <v>0</v>
      </c>
      <c r="K27" s="61"/>
      <c r="L27" s="608">
        <f t="shared" si="1"/>
        <v>0</v>
      </c>
      <c r="O27" s="1421"/>
    </row>
    <row r="28" spans="1:15" ht="15" customHeight="1">
      <c r="A28" s="62" t="s">
        <v>219</v>
      </c>
      <c r="B28" s="1543" t="s">
        <v>244</v>
      </c>
      <c r="C28" s="1543"/>
      <c r="D28" s="63">
        <f>D29</f>
        <v>0</v>
      </c>
      <c r="E28" s="63">
        <f>E29</f>
        <v>0</v>
      </c>
      <c r="F28" s="1345">
        <f t="shared" si="0"/>
        <v>0</v>
      </c>
      <c r="G28" s="26"/>
      <c r="H28" s="64" t="s">
        <v>268</v>
      </c>
      <c r="I28" s="20" t="s">
        <v>189</v>
      </c>
      <c r="J28" s="65">
        <f>SUM(J29:J31)</f>
        <v>0</v>
      </c>
      <c r="K28" s="65"/>
      <c r="L28" s="606">
        <f t="shared" si="1"/>
        <v>0</v>
      </c>
      <c r="O28" s="1421"/>
    </row>
    <row r="29" spans="1:15" ht="15" customHeight="1">
      <c r="A29" s="66"/>
      <c r="B29" s="67" t="s">
        <v>240</v>
      </c>
      <c r="C29" s="20" t="s">
        <v>189</v>
      </c>
      <c r="D29" s="571">
        <f>SUM(D30:D31)</f>
        <v>0</v>
      </c>
      <c r="E29" s="571">
        <f>SUM(E30:E31)</f>
        <v>0</v>
      </c>
      <c r="F29" s="609">
        <f t="shared" si="0"/>
        <v>0</v>
      </c>
      <c r="G29" s="26"/>
      <c r="H29" s="64"/>
      <c r="I29" s="68" t="s">
        <v>257</v>
      </c>
      <c r="J29" s="65"/>
      <c r="K29" s="65"/>
      <c r="L29" s="606">
        <f t="shared" si="1"/>
        <v>0</v>
      </c>
      <c r="O29" s="1421"/>
    </row>
    <row r="30" spans="1:15" ht="15" customHeight="1">
      <c r="A30" s="52"/>
      <c r="B30" s="64"/>
      <c r="C30" s="69" t="s">
        <v>109</v>
      </c>
      <c r="D30" s="572">
        <v>0</v>
      </c>
      <c r="E30" s="572">
        <f>세입예산서!E30</f>
        <v>0</v>
      </c>
      <c r="F30" s="1346">
        <f t="shared" si="0"/>
        <v>0</v>
      </c>
      <c r="G30" s="26"/>
      <c r="H30" s="32"/>
      <c r="I30" s="70" t="s">
        <v>140</v>
      </c>
      <c r="J30" s="58">
        <v>0</v>
      </c>
      <c r="K30" s="58"/>
      <c r="L30" s="606">
        <f t="shared" si="1"/>
        <v>0</v>
      </c>
      <c r="O30" s="1421"/>
    </row>
    <row r="31" spans="1:15" ht="22.5" customHeight="1">
      <c r="A31" s="54"/>
      <c r="B31" s="36"/>
      <c r="C31" s="71" t="s">
        <v>273</v>
      </c>
      <c r="D31" s="571"/>
      <c r="E31" s="571"/>
      <c r="F31" s="609">
        <f t="shared" si="0"/>
        <v>0</v>
      </c>
      <c r="G31" s="72"/>
      <c r="H31" s="73"/>
      <c r="I31" s="28" t="s">
        <v>126</v>
      </c>
      <c r="J31" s="33">
        <v>0</v>
      </c>
      <c r="K31" s="33"/>
      <c r="L31" s="609">
        <f t="shared" si="1"/>
        <v>0</v>
      </c>
      <c r="O31" s="1421"/>
    </row>
    <row r="32" spans="1:15" ht="15" customHeight="1">
      <c r="A32" s="62" t="s">
        <v>233</v>
      </c>
      <c r="B32" s="1543" t="s">
        <v>244</v>
      </c>
      <c r="C32" s="1543"/>
      <c r="D32" s="63">
        <f>D33</f>
        <v>108552910</v>
      </c>
      <c r="E32" s="63">
        <f>E33</f>
        <v>169387216</v>
      </c>
      <c r="F32" s="610">
        <f t="shared" si="0"/>
        <v>60834306</v>
      </c>
      <c r="G32" s="74" t="s">
        <v>227</v>
      </c>
      <c r="H32" s="1544" t="s">
        <v>193</v>
      </c>
      <c r="I32" s="1545"/>
      <c r="J32" s="75">
        <f>J33</f>
        <v>579020000</v>
      </c>
      <c r="K32" s="75">
        <v>636145456</v>
      </c>
      <c r="L32" s="610">
        <f t="shared" si="1"/>
        <v>57125456</v>
      </c>
      <c r="O32" s="1421"/>
    </row>
    <row r="33" spans="1:15" ht="15" customHeight="1">
      <c r="A33" s="66"/>
      <c r="B33" s="67" t="s">
        <v>248</v>
      </c>
      <c r="C33" s="20" t="s">
        <v>189</v>
      </c>
      <c r="D33" s="571">
        <f>SUM(D34:D36)</f>
        <v>108552910</v>
      </c>
      <c r="E33" s="571">
        <f>SUM(E34:E36)</f>
        <v>169387216</v>
      </c>
      <c r="F33" s="609">
        <f t="shared" si="0"/>
        <v>60834306</v>
      </c>
      <c r="G33" s="519"/>
      <c r="H33" s="67" t="s">
        <v>235</v>
      </c>
      <c r="I33" s="20" t="s">
        <v>189</v>
      </c>
      <c r="J33" s="23">
        <f>SUM(J34:J35)</f>
        <v>579020000</v>
      </c>
      <c r="K33" s="23">
        <v>636145456</v>
      </c>
      <c r="L33" s="609">
        <f t="shared" si="1"/>
        <v>57125456</v>
      </c>
      <c r="O33" s="1421"/>
    </row>
    <row r="34" spans="1:15" ht="15" customHeight="1">
      <c r="A34" s="52"/>
      <c r="B34" s="32"/>
      <c r="C34" s="25" t="s">
        <v>87</v>
      </c>
      <c r="D34" s="518">
        <v>46552910</v>
      </c>
      <c r="E34" s="518">
        <v>48880736</v>
      </c>
      <c r="F34" s="1346">
        <v>2327826</v>
      </c>
      <c r="G34" s="77"/>
      <c r="H34" s="32"/>
      <c r="I34" s="1422" t="s">
        <v>65</v>
      </c>
      <c r="J34" s="1423">
        <v>473672700</v>
      </c>
      <c r="K34" s="1423">
        <v>513496176</v>
      </c>
      <c r="L34" s="1424">
        <f>K34-J34</f>
        <v>39823476</v>
      </c>
      <c r="O34" s="1421"/>
    </row>
    <row r="35" spans="1:15" ht="15" customHeight="1">
      <c r="A35" s="52"/>
      <c r="B35" s="32"/>
      <c r="C35" s="25" t="s">
        <v>19</v>
      </c>
      <c r="D35" s="78">
        <v>62000000</v>
      </c>
      <c r="E35" s="78">
        <v>120506480</v>
      </c>
      <c r="F35" s="606">
        <v>58506480</v>
      </c>
      <c r="G35" s="77"/>
      <c r="H35" s="32"/>
      <c r="I35" s="37" t="s">
        <v>56</v>
      </c>
      <c r="J35" s="33">
        <v>105347300</v>
      </c>
      <c r="K35" s="33">
        <v>122649280</v>
      </c>
      <c r="L35" s="609">
        <f>K35-J35</f>
        <v>17301980</v>
      </c>
      <c r="O35" s="1421"/>
    </row>
    <row r="36" spans="1:15" ht="15" customHeight="1">
      <c r="A36" s="52"/>
      <c r="B36" s="32"/>
      <c r="C36" s="81" t="s">
        <v>78</v>
      </c>
      <c r="D36" s="79">
        <v>0</v>
      </c>
      <c r="E36" s="79">
        <v>0</v>
      </c>
      <c r="F36" s="606">
        <f t="shared" si="0"/>
        <v>0</v>
      </c>
      <c r="G36" s="1475" t="s">
        <v>100</v>
      </c>
      <c r="H36" s="1476" t="s">
        <v>193</v>
      </c>
      <c r="I36" s="1477"/>
      <c r="J36" s="1478">
        <f t="shared" ref="J36:J37" si="3">J37</f>
        <v>0</v>
      </c>
      <c r="K36" s="1478"/>
      <c r="L36" s="608">
        <f t="shared" si="1"/>
        <v>0</v>
      </c>
      <c r="O36" s="1421"/>
    </row>
    <row r="37" spans="1:15" ht="15" customHeight="1">
      <c r="A37" s="56" t="s">
        <v>253</v>
      </c>
      <c r="B37" s="1472" t="s">
        <v>244</v>
      </c>
      <c r="C37" s="1472"/>
      <c r="D37" s="1473">
        <f>D38</f>
        <v>25651090</v>
      </c>
      <c r="E37" s="1473">
        <f>E38</f>
        <v>25652784</v>
      </c>
      <c r="F37" s="1345">
        <f t="shared" si="0"/>
        <v>1694</v>
      </c>
      <c r="G37" s="77"/>
      <c r="H37" s="68" t="s">
        <v>226</v>
      </c>
      <c r="I37" s="55" t="s">
        <v>189</v>
      </c>
      <c r="J37" s="1474">
        <f t="shared" si="3"/>
        <v>0</v>
      </c>
      <c r="K37" s="1474"/>
      <c r="L37" s="1344">
        <f t="shared" si="1"/>
        <v>0</v>
      </c>
      <c r="O37" s="1421"/>
    </row>
    <row r="38" spans="1:15" ht="15" customHeight="1">
      <c r="A38" s="66"/>
      <c r="B38" s="64" t="s">
        <v>222</v>
      </c>
      <c r="C38" s="53" t="s">
        <v>189</v>
      </c>
      <c r="D38" s="80">
        <f>SUM(D39:D41)</f>
        <v>25651090</v>
      </c>
      <c r="E38" s="80">
        <f>SUM(E39:E41)</f>
        <v>25652784</v>
      </c>
      <c r="F38" s="606">
        <f t="shared" si="0"/>
        <v>1694</v>
      </c>
      <c r="G38" s="72"/>
      <c r="H38" s="64"/>
      <c r="I38" s="69" t="s">
        <v>71</v>
      </c>
      <c r="J38" s="58"/>
      <c r="K38" s="58"/>
      <c r="L38" s="609">
        <f t="shared" si="1"/>
        <v>0</v>
      </c>
      <c r="O38" s="1421"/>
    </row>
    <row r="39" spans="1:15" ht="16.5" customHeight="1">
      <c r="A39" s="52"/>
      <c r="B39" s="64"/>
      <c r="C39" s="81" t="s">
        <v>108</v>
      </c>
      <c r="D39" s="80"/>
      <c r="E39" s="80"/>
      <c r="F39" s="606">
        <f t="shared" si="0"/>
        <v>0</v>
      </c>
      <c r="G39" s="74" t="s">
        <v>243</v>
      </c>
      <c r="H39" s="1470" t="s">
        <v>193</v>
      </c>
      <c r="I39" s="1471"/>
      <c r="J39" s="75">
        <v>0</v>
      </c>
      <c r="K39" s="75"/>
      <c r="L39" s="610">
        <f t="shared" si="1"/>
        <v>0</v>
      </c>
      <c r="O39" s="1421"/>
    </row>
    <row r="40" spans="1:15" ht="15" customHeight="1">
      <c r="A40" s="82"/>
      <c r="B40" s="83"/>
      <c r="C40" s="575" t="s">
        <v>180</v>
      </c>
      <c r="D40" s="80">
        <v>100000</v>
      </c>
      <c r="E40" s="80">
        <v>100000</v>
      </c>
      <c r="F40" s="606">
        <f t="shared" si="0"/>
        <v>0</v>
      </c>
      <c r="G40" s="76"/>
      <c r="H40" s="93" t="s">
        <v>95</v>
      </c>
      <c r="I40" s="20" t="s">
        <v>189</v>
      </c>
      <c r="J40" s="23">
        <f>SUM(J41:J42)</f>
        <v>0</v>
      </c>
      <c r="K40" s="23"/>
      <c r="L40" s="609">
        <f t="shared" si="1"/>
        <v>0</v>
      </c>
      <c r="O40" s="1421"/>
    </row>
    <row r="41" spans="1:15" ht="15" customHeight="1" thickBot="1">
      <c r="A41" s="84"/>
      <c r="B41" s="85"/>
      <c r="C41" s="86" t="s">
        <v>99</v>
      </c>
      <c r="D41" s="88">
        <v>25551090</v>
      </c>
      <c r="E41" s="87">
        <v>25552784</v>
      </c>
      <c r="F41" s="1347">
        <f>E41-D41</f>
        <v>1694</v>
      </c>
      <c r="G41" s="77"/>
      <c r="H41" s="64"/>
      <c r="I41" s="69" t="s">
        <v>60</v>
      </c>
      <c r="J41" s="58"/>
      <c r="K41" s="58"/>
      <c r="L41" s="609">
        <f t="shared" si="1"/>
        <v>0</v>
      </c>
      <c r="O41" s="1421"/>
    </row>
    <row r="42" spans="1:15" ht="15" customHeight="1">
      <c r="A42" s="89"/>
      <c r="B42" s="89"/>
      <c r="C42" s="90"/>
      <c r="D42" s="91"/>
      <c r="E42" s="91"/>
      <c r="F42" s="92"/>
      <c r="G42" s="72"/>
      <c r="H42" s="36"/>
      <c r="I42" s="37" t="s">
        <v>88</v>
      </c>
      <c r="J42" s="33"/>
      <c r="K42" s="33"/>
      <c r="L42" s="609">
        <f t="shared" si="1"/>
        <v>0</v>
      </c>
      <c r="O42" s="1421"/>
    </row>
    <row r="43" spans="1:15" ht="15" customHeight="1">
      <c r="A43" s="89"/>
      <c r="B43" s="89"/>
      <c r="C43" s="89"/>
      <c r="D43" s="91"/>
      <c r="E43" s="91"/>
      <c r="F43" s="92"/>
      <c r="G43" s="74" t="s">
        <v>187</v>
      </c>
      <c r="H43" s="1470" t="s">
        <v>193</v>
      </c>
      <c r="I43" s="1471"/>
      <c r="J43" s="75">
        <f t="shared" ref="J43:J44" si="4">J44</f>
        <v>0</v>
      </c>
      <c r="K43" s="75"/>
      <c r="L43" s="608">
        <f t="shared" si="1"/>
        <v>0</v>
      </c>
      <c r="O43" s="1421"/>
    </row>
    <row r="44" spans="1:15" ht="15" customHeight="1">
      <c r="A44" s="89"/>
      <c r="B44" s="89"/>
      <c r="C44" s="89"/>
      <c r="D44" s="91"/>
      <c r="E44" s="91"/>
      <c r="F44" s="92"/>
      <c r="G44" s="76"/>
      <c r="H44" s="67" t="s">
        <v>206</v>
      </c>
      <c r="I44" s="20" t="s">
        <v>189</v>
      </c>
      <c r="J44" s="23">
        <f t="shared" si="4"/>
        <v>0</v>
      </c>
      <c r="K44" s="23"/>
      <c r="L44" s="609">
        <f t="shared" si="1"/>
        <v>0</v>
      </c>
      <c r="O44" s="1421"/>
    </row>
    <row r="45" spans="1:15" ht="15" customHeight="1">
      <c r="A45" s="94"/>
      <c r="B45" s="94"/>
      <c r="C45" s="89"/>
      <c r="D45" s="91"/>
      <c r="E45" s="91"/>
      <c r="F45" s="92"/>
      <c r="G45" s="72"/>
      <c r="H45" s="64"/>
      <c r="I45" s="69" t="s">
        <v>265</v>
      </c>
      <c r="J45" s="58">
        <v>0</v>
      </c>
      <c r="K45" s="58"/>
      <c r="L45" s="609">
        <f t="shared" si="1"/>
        <v>0</v>
      </c>
      <c r="O45" s="1421"/>
    </row>
    <row r="46" spans="1:15" ht="15" customHeight="1">
      <c r="A46" s="94"/>
      <c r="B46" s="94"/>
      <c r="C46" s="94"/>
      <c r="D46" s="95"/>
      <c r="E46" s="95"/>
      <c r="F46" s="95"/>
      <c r="G46" s="16" t="s">
        <v>117</v>
      </c>
      <c r="H46" s="1470" t="s">
        <v>193</v>
      </c>
      <c r="I46" s="1471"/>
      <c r="J46" s="75">
        <f>J47</f>
        <v>26540000</v>
      </c>
      <c r="K46" s="75">
        <v>29450914</v>
      </c>
      <c r="L46" s="610">
        <f t="shared" si="1"/>
        <v>2910914</v>
      </c>
      <c r="O46" s="1421"/>
    </row>
    <row r="47" spans="1:15" ht="15" customHeight="1">
      <c r="A47" s="94"/>
      <c r="B47" s="94"/>
      <c r="C47" s="94"/>
      <c r="D47" s="95"/>
      <c r="E47" s="95"/>
      <c r="F47" s="95"/>
      <c r="G47" s="76"/>
      <c r="H47" s="93" t="s">
        <v>106</v>
      </c>
      <c r="I47" s="20" t="s">
        <v>189</v>
      </c>
      <c r="J47" s="23">
        <f>SUM(J48:J49)</f>
        <v>26540000</v>
      </c>
      <c r="K47" s="23">
        <v>29450914</v>
      </c>
      <c r="L47" s="609">
        <f t="shared" si="1"/>
        <v>2910914</v>
      </c>
      <c r="O47" s="1421"/>
    </row>
    <row r="48" spans="1:15" ht="15" customHeight="1">
      <c r="A48" s="94"/>
      <c r="B48" s="94"/>
      <c r="C48" s="94"/>
      <c r="D48" s="95"/>
      <c r="E48" s="95"/>
      <c r="F48" s="95"/>
      <c r="G48" s="77"/>
      <c r="H48" s="27"/>
      <c r="I48" s="81" t="s">
        <v>200</v>
      </c>
      <c r="J48" s="65">
        <v>0</v>
      </c>
      <c r="K48" s="65"/>
      <c r="L48" s="609">
        <f t="shared" si="1"/>
        <v>0</v>
      </c>
      <c r="O48" s="1421"/>
    </row>
    <row r="49" spans="1:15" ht="15" customHeight="1" thickBot="1">
      <c r="A49" s="94"/>
      <c r="B49" s="94"/>
      <c r="C49" s="94"/>
      <c r="D49" s="95"/>
      <c r="E49" s="95"/>
      <c r="F49" s="95"/>
      <c r="G49" s="96"/>
      <c r="H49" s="97"/>
      <c r="I49" s="98" t="s">
        <v>199</v>
      </c>
      <c r="J49" s="99">
        <v>26540000</v>
      </c>
      <c r="K49" s="99">
        <v>29450914</v>
      </c>
      <c r="L49" s="611">
        <f t="shared" si="1"/>
        <v>2910914</v>
      </c>
      <c r="O49" s="1421"/>
    </row>
    <row r="50" spans="1:15" ht="15" customHeight="1">
      <c r="A50" s="94"/>
      <c r="B50" s="94"/>
      <c r="C50" s="94"/>
      <c r="D50" s="95"/>
      <c r="E50" s="95"/>
      <c r="F50" s="95"/>
      <c r="O50" s="1421"/>
    </row>
    <row r="51" spans="1:15" ht="15" customHeight="1">
      <c r="A51" s="94"/>
      <c r="B51" s="94"/>
      <c r="C51" s="94"/>
      <c r="D51" s="95"/>
      <c r="E51" s="95"/>
      <c r="F51" s="95"/>
      <c r="O51" s="1421"/>
    </row>
  </sheetData>
  <mergeCells count="23">
    <mergeCell ref="B32:C32"/>
    <mergeCell ref="H32:I32"/>
    <mergeCell ref="L5:L6"/>
    <mergeCell ref="A7:C7"/>
    <mergeCell ref="G7:I7"/>
    <mergeCell ref="B8:C8"/>
    <mergeCell ref="H8:I8"/>
    <mergeCell ref="B11:C11"/>
    <mergeCell ref="B14:C14"/>
    <mergeCell ref="B20:C20"/>
    <mergeCell ref="B24:C24"/>
    <mergeCell ref="H27:I27"/>
    <mergeCell ref="B28:C28"/>
    <mergeCell ref="A1:L1"/>
    <mergeCell ref="A4:F4"/>
    <mergeCell ref="G4:L4"/>
    <mergeCell ref="A5:C5"/>
    <mergeCell ref="D5:D6"/>
    <mergeCell ref="E5:E6"/>
    <mergeCell ref="F5:F6"/>
    <mergeCell ref="G5:I5"/>
    <mergeCell ref="J5:J6"/>
    <mergeCell ref="K5:K6"/>
  </mergeCells>
  <phoneticPr fontId="5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5A9B-BB37-48E7-8D06-5F46E3417675}">
  <sheetPr>
    <pageSetUpPr fitToPage="1"/>
  </sheetPr>
  <dimension ref="A1:S52"/>
  <sheetViews>
    <sheetView view="pageBreakPreview" topLeftCell="A6" zoomScaleNormal="100" zoomScaleSheetLayoutView="100" workbookViewId="0">
      <selection activeCell="S17" sqref="S17"/>
    </sheetView>
  </sheetViews>
  <sheetFormatPr defaultColWidth="9" defaultRowHeight="16.5"/>
  <cols>
    <col min="1" max="2" width="12.25" style="120" customWidth="1"/>
    <col min="3" max="3" width="15.875" style="120" bestFit="1" customWidth="1"/>
    <col min="4" max="7" width="12.25" style="120" customWidth="1"/>
    <col min="8" max="8" width="14.875" style="120" customWidth="1"/>
    <col min="9" max="9" width="12.25" style="120" customWidth="1"/>
    <col min="10" max="10" width="6.75" style="120" bestFit="1" customWidth="1"/>
    <col min="11" max="11" width="2.375" style="120" bestFit="1" customWidth="1"/>
    <col min="12" max="12" width="4.75" style="120" bestFit="1" customWidth="1"/>
    <col min="13" max="13" width="2.5" style="120" bestFit="1" customWidth="1"/>
    <col min="14" max="14" width="12" style="120" bestFit="1" customWidth="1"/>
    <col min="15" max="16" width="14.625" style="120" bestFit="1" customWidth="1"/>
    <col min="17" max="17" width="11.875" style="120" bestFit="1" customWidth="1"/>
    <col min="18" max="16384" width="9" style="120"/>
  </cols>
  <sheetData>
    <row r="1" spans="1:17" ht="50.25" customHeight="1">
      <c r="A1" s="1567" t="s">
        <v>279</v>
      </c>
      <c r="B1" s="1568"/>
      <c r="C1" s="1568"/>
      <c r="D1" s="1568"/>
      <c r="E1" s="1568"/>
      <c r="F1" s="1568"/>
      <c r="G1" s="1568"/>
      <c r="H1" s="1568"/>
      <c r="I1" s="1568"/>
      <c r="J1" s="1568"/>
      <c r="K1" s="1568"/>
      <c r="L1" s="1568"/>
      <c r="M1" s="1568"/>
      <c r="N1" s="1569"/>
    </row>
    <row r="2" spans="1:17" ht="21" customHeight="1" thickBot="1">
      <c r="A2" s="1498" t="s">
        <v>245</v>
      </c>
      <c r="B2" s="512"/>
      <c r="C2" s="511"/>
      <c r="D2" s="101"/>
      <c r="E2" s="100"/>
      <c r="F2" s="101"/>
      <c r="G2" s="510"/>
      <c r="H2" s="509"/>
      <c r="I2" s="507"/>
      <c r="J2" s="508"/>
      <c r="K2" s="507"/>
      <c r="L2" s="507"/>
      <c r="M2" s="506"/>
      <c r="N2" s="1499" t="s">
        <v>75</v>
      </c>
    </row>
    <row r="3" spans="1:17" s="119" customFormat="1" ht="15" customHeight="1">
      <c r="A3" s="1570" t="s">
        <v>192</v>
      </c>
      <c r="B3" s="1571"/>
      <c r="C3" s="1572"/>
      <c r="D3" s="1537" t="s">
        <v>297</v>
      </c>
      <c r="E3" s="1539" t="s">
        <v>299</v>
      </c>
      <c r="F3" s="1573" t="s">
        <v>293</v>
      </c>
      <c r="G3" s="1575" t="s">
        <v>225</v>
      </c>
      <c r="H3" s="1576"/>
      <c r="I3" s="1576"/>
      <c r="J3" s="1576"/>
      <c r="K3" s="1576"/>
      <c r="L3" s="1576"/>
      <c r="M3" s="1576"/>
      <c r="N3" s="1577"/>
    </row>
    <row r="4" spans="1:17" s="119" customFormat="1" ht="15" customHeight="1" thickBot="1">
      <c r="A4" s="795" t="s">
        <v>0</v>
      </c>
      <c r="B4" s="796" t="s">
        <v>2</v>
      </c>
      <c r="C4" s="796" t="s">
        <v>1</v>
      </c>
      <c r="D4" s="1538"/>
      <c r="E4" s="1540"/>
      <c r="F4" s="1574"/>
      <c r="G4" s="1578"/>
      <c r="H4" s="1579"/>
      <c r="I4" s="1579"/>
      <c r="J4" s="1579"/>
      <c r="K4" s="1579"/>
      <c r="L4" s="1579"/>
      <c r="M4" s="1579"/>
      <c r="N4" s="1580"/>
    </row>
    <row r="5" spans="1:17" s="119" customFormat="1" ht="15" customHeight="1">
      <c r="A5" s="1570" t="s">
        <v>231</v>
      </c>
      <c r="B5" s="1571"/>
      <c r="C5" s="1572"/>
      <c r="D5" s="628">
        <f>SUM(D6,D10,D13,D21,D28,D33,D43)</f>
        <v>1377711000</v>
      </c>
      <c r="E5" s="628">
        <f>SUM(E6,E10,E13,E21,E28,E33,E43)</f>
        <v>1438547000</v>
      </c>
      <c r="F5" s="629">
        <f>SUM(F6,F10,F13,F21,F28,F33,F43)</f>
        <v>60836000</v>
      </c>
      <c r="G5" s="630"/>
      <c r="H5" s="631"/>
      <c r="I5" s="631"/>
      <c r="J5" s="631"/>
      <c r="K5" s="631"/>
      <c r="L5" s="631"/>
      <c r="M5" s="631"/>
      <c r="N5" s="632"/>
      <c r="Q5" s="582"/>
    </row>
    <row r="6" spans="1:17" s="119" customFormat="1" ht="15" customHeight="1">
      <c r="A6" s="633" t="s">
        <v>264</v>
      </c>
      <c r="B6" s="1563" t="s">
        <v>244</v>
      </c>
      <c r="C6" s="1564"/>
      <c r="D6" s="634">
        <f>SUM(D7)</f>
        <v>0</v>
      </c>
      <c r="E6" s="634">
        <f>SUM(E7)</f>
        <v>0</v>
      </c>
      <c r="F6" s="635">
        <f>F7</f>
        <v>0</v>
      </c>
      <c r="G6" s="636"/>
      <c r="H6" s="637"/>
      <c r="I6" s="637"/>
      <c r="J6" s="637"/>
      <c r="K6" s="637"/>
      <c r="L6" s="637"/>
      <c r="M6" s="637"/>
      <c r="N6" s="638"/>
    </row>
    <row r="7" spans="1:17" s="119" customFormat="1" ht="15" customHeight="1">
      <c r="A7" s="639"/>
      <c r="B7" s="640" t="s">
        <v>264</v>
      </c>
      <c r="C7" s="641" t="s">
        <v>189</v>
      </c>
      <c r="D7" s="43">
        <f>D8</f>
        <v>0</v>
      </c>
      <c r="E7" s="43">
        <f>E8</f>
        <v>0</v>
      </c>
      <c r="F7" s="642">
        <f>F8</f>
        <v>0</v>
      </c>
      <c r="G7" s="636"/>
      <c r="H7" s="637"/>
      <c r="I7" s="637"/>
      <c r="J7" s="637"/>
      <c r="K7" s="637"/>
      <c r="L7" s="637"/>
      <c r="M7" s="637"/>
      <c r="N7" s="638"/>
    </row>
    <row r="8" spans="1:17" s="119" customFormat="1" ht="15" customHeight="1">
      <c r="A8" s="643"/>
      <c r="B8" s="644"/>
      <c r="C8" s="645" t="s">
        <v>105</v>
      </c>
      <c r="D8" s="79">
        <v>0</v>
      </c>
      <c r="E8" s="79">
        <f>SUM(N8:N9)</f>
        <v>0</v>
      </c>
      <c r="F8" s="646">
        <f>E8-D8</f>
        <v>0</v>
      </c>
      <c r="G8" s="787"/>
      <c r="H8" s="788"/>
      <c r="I8" s="681"/>
      <c r="J8" s="681"/>
      <c r="K8" s="681"/>
      <c r="L8" s="785"/>
      <c r="M8" s="683"/>
      <c r="N8" s="684"/>
    </row>
    <row r="9" spans="1:17" s="119" customFormat="1" ht="15" customHeight="1">
      <c r="A9" s="643"/>
      <c r="B9" s="650"/>
      <c r="C9" s="651"/>
      <c r="D9" s="652"/>
      <c r="E9" s="652"/>
      <c r="F9" s="653"/>
      <c r="G9" s="789"/>
      <c r="H9" s="790"/>
      <c r="I9" s="791"/>
      <c r="J9" s="791"/>
      <c r="K9" s="791"/>
      <c r="L9" s="792"/>
      <c r="M9" s="793"/>
      <c r="N9" s="794"/>
    </row>
    <row r="10" spans="1:17" s="119" customFormat="1" ht="15" customHeight="1">
      <c r="A10" s="656" t="s">
        <v>92</v>
      </c>
      <c r="B10" s="1581" t="s">
        <v>244</v>
      </c>
      <c r="C10" s="1582"/>
      <c r="D10" s="657"/>
      <c r="E10" s="657"/>
      <c r="F10" s="658">
        <v>0</v>
      </c>
      <c r="G10" s="659"/>
      <c r="H10" s="660"/>
      <c r="I10" s="660"/>
      <c r="J10" s="660"/>
      <c r="K10" s="660"/>
      <c r="L10" s="660"/>
      <c r="M10" s="660"/>
      <c r="N10" s="661"/>
    </row>
    <row r="11" spans="1:17" s="119" customFormat="1" ht="15" customHeight="1">
      <c r="A11" s="662"/>
      <c r="B11" s="663" t="s">
        <v>52</v>
      </c>
      <c r="C11" s="664" t="s">
        <v>189</v>
      </c>
      <c r="D11" s="665"/>
      <c r="E11" s="665"/>
      <c r="F11" s="666">
        <v>0</v>
      </c>
      <c r="G11" s="659"/>
      <c r="H11" s="660"/>
      <c r="I11" s="660"/>
      <c r="J11" s="660"/>
      <c r="K11" s="660"/>
      <c r="L11" s="660"/>
      <c r="M11" s="660"/>
      <c r="N11" s="661"/>
    </row>
    <row r="12" spans="1:17" s="119" customFormat="1" ht="15" customHeight="1">
      <c r="A12" s="667"/>
      <c r="B12" s="663"/>
      <c r="C12" s="663" t="s">
        <v>96</v>
      </c>
      <c r="D12" s="665"/>
      <c r="E12" s="1442"/>
      <c r="F12" s="1443"/>
      <c r="G12" s="668"/>
      <c r="H12" s="669"/>
      <c r="I12" s="595"/>
      <c r="J12" s="670"/>
      <c r="K12" s="670"/>
      <c r="L12" s="670"/>
      <c r="M12" s="671"/>
      <c r="N12" s="672"/>
    </row>
    <row r="13" spans="1:17" s="119" customFormat="1" ht="15" customHeight="1">
      <c r="A13" s="633" t="s">
        <v>77</v>
      </c>
      <c r="B13" s="1563" t="s">
        <v>244</v>
      </c>
      <c r="C13" s="1564"/>
      <c r="D13" s="634">
        <f>SUM(D14)</f>
        <v>779998000</v>
      </c>
      <c r="E13" s="1444">
        <f>SUM(E14)</f>
        <v>779998000</v>
      </c>
      <c r="F13" s="1445">
        <f>E13-D13</f>
        <v>0</v>
      </c>
      <c r="G13" s="636"/>
      <c r="H13" s="637"/>
      <c r="I13" s="637"/>
      <c r="J13" s="637"/>
      <c r="K13" s="637"/>
      <c r="L13" s="637"/>
      <c r="M13" s="637"/>
      <c r="N13" s="638"/>
    </row>
    <row r="14" spans="1:17" s="119" customFormat="1" ht="15" customHeight="1">
      <c r="A14" s="639"/>
      <c r="B14" s="640" t="s">
        <v>234</v>
      </c>
      <c r="C14" s="641" t="s">
        <v>189</v>
      </c>
      <c r="D14" s="43">
        <f>SUM(D15:D20)</f>
        <v>779998000</v>
      </c>
      <c r="E14" s="1446">
        <f>SUM(E15:E20)</f>
        <v>779998000</v>
      </c>
      <c r="F14" s="1447">
        <f>SUM(F19,F17,F15)</f>
        <v>0</v>
      </c>
      <c r="G14" s="636"/>
      <c r="H14" s="637"/>
      <c r="I14" s="637"/>
      <c r="J14" s="637"/>
      <c r="K14" s="637"/>
      <c r="L14" s="637"/>
      <c r="M14" s="637"/>
      <c r="N14" s="638"/>
      <c r="Q14" s="582"/>
    </row>
    <row r="15" spans="1:17" s="119" customFormat="1" ht="15" customHeight="1">
      <c r="A15" s="643"/>
      <c r="B15" s="645"/>
      <c r="C15" s="673" t="s">
        <v>107</v>
      </c>
      <c r="D15" s="43">
        <v>0</v>
      </c>
      <c r="E15" s="1446">
        <f>SUM(N16:N16)</f>
        <v>0</v>
      </c>
      <c r="F15" s="1447">
        <f>E15-D15</f>
        <v>0</v>
      </c>
      <c r="G15" s="636"/>
      <c r="H15" s="637"/>
      <c r="I15" s="674"/>
      <c r="J15" s="637"/>
      <c r="K15" s="637"/>
      <c r="L15" s="637"/>
      <c r="M15" s="637"/>
      <c r="N15" s="638"/>
      <c r="O15" s="582"/>
      <c r="Q15" s="582"/>
    </row>
    <row r="16" spans="1:17" s="119" customFormat="1" ht="15" customHeight="1">
      <c r="A16" s="643"/>
      <c r="B16" s="675"/>
      <c r="C16" s="676"/>
      <c r="D16" s="79"/>
      <c r="E16" s="1448"/>
      <c r="F16" s="1449"/>
      <c r="G16" s="1559"/>
      <c r="H16" s="1560"/>
      <c r="I16" s="1560"/>
      <c r="J16" s="677"/>
      <c r="K16" s="677"/>
      <c r="L16" s="677"/>
      <c r="M16" s="677"/>
      <c r="N16" s="678"/>
      <c r="Q16" s="582"/>
    </row>
    <row r="17" spans="1:16" s="119" customFormat="1" ht="15" customHeight="1">
      <c r="A17" s="643"/>
      <c r="B17" s="679"/>
      <c r="C17" s="640" t="s">
        <v>70</v>
      </c>
      <c r="D17" s="680">
        <v>247821000</v>
      </c>
      <c r="E17" s="1450">
        <f>SUM(N18:N18)</f>
        <v>247821000</v>
      </c>
      <c r="F17" s="1451">
        <f>E17-D17</f>
        <v>0</v>
      </c>
      <c r="G17" s="1561"/>
      <c r="H17" s="1562"/>
      <c r="I17" s="1562"/>
      <c r="J17" s="681"/>
      <c r="K17" s="681"/>
      <c r="L17" s="682"/>
      <c r="M17" s="683"/>
      <c r="N17" s="684"/>
    </row>
    <row r="18" spans="1:16" s="119" customFormat="1" ht="15" customHeight="1">
      <c r="A18" s="643"/>
      <c r="B18" s="679"/>
      <c r="C18" s="645"/>
      <c r="D18" s="685"/>
      <c r="E18" s="1452"/>
      <c r="F18" s="1451"/>
      <c r="G18" s="1559" t="s">
        <v>355</v>
      </c>
      <c r="H18" s="1560"/>
      <c r="I18" s="1560"/>
      <c r="J18" s="647"/>
      <c r="K18" s="647"/>
      <c r="L18" s="687"/>
      <c r="M18" s="648"/>
      <c r="N18" s="649">
        <v>247821000</v>
      </c>
    </row>
    <row r="19" spans="1:16" s="119" customFormat="1" ht="15" customHeight="1">
      <c r="A19" s="643"/>
      <c r="B19" s="688"/>
      <c r="C19" s="640" t="s">
        <v>86</v>
      </c>
      <c r="D19" s="43">
        <v>532177000</v>
      </c>
      <c r="E19" s="1450">
        <f>SUM(N20:N20)</f>
        <v>532177000</v>
      </c>
      <c r="F19" s="1447">
        <f>E19-D19</f>
        <v>0</v>
      </c>
      <c r="G19" s="1561"/>
      <c r="H19" s="1562"/>
      <c r="I19" s="1562"/>
      <c r="J19" s="681"/>
      <c r="K19" s="681"/>
      <c r="L19" s="682"/>
      <c r="M19" s="683"/>
      <c r="N19" s="684"/>
    </row>
    <row r="20" spans="1:16" s="119" customFormat="1" ht="15" customHeight="1">
      <c r="A20" s="643"/>
      <c r="B20" s="688"/>
      <c r="C20" s="645"/>
      <c r="D20" s="685"/>
      <c r="E20" s="1452"/>
      <c r="F20" s="1453"/>
      <c r="G20" s="1559" t="s">
        <v>171</v>
      </c>
      <c r="H20" s="1560"/>
      <c r="I20" s="1560"/>
      <c r="J20" s="647"/>
      <c r="K20" s="647"/>
      <c r="L20" s="687"/>
      <c r="M20" s="648"/>
      <c r="N20" s="678">
        <v>532177000</v>
      </c>
    </row>
    <row r="21" spans="1:16" s="119" customFormat="1" ht="15" customHeight="1">
      <c r="A21" s="633" t="s">
        <v>91</v>
      </c>
      <c r="B21" s="1563" t="s">
        <v>189</v>
      </c>
      <c r="C21" s="1564"/>
      <c r="D21" s="634">
        <f>SUM(D22)</f>
        <v>463509000</v>
      </c>
      <c r="E21" s="1444">
        <f>SUM(E22)</f>
        <v>463509000</v>
      </c>
      <c r="F21" s="1454">
        <f>F22</f>
        <v>0</v>
      </c>
      <c r="G21" s="636"/>
      <c r="H21" s="637"/>
      <c r="I21" s="637"/>
      <c r="J21" s="637"/>
      <c r="K21" s="637"/>
      <c r="L21" s="637"/>
      <c r="M21" s="637"/>
      <c r="N21" s="690"/>
      <c r="P21" s="582"/>
    </row>
    <row r="22" spans="1:16" s="119" customFormat="1" ht="15" customHeight="1">
      <c r="A22" s="639"/>
      <c r="B22" s="640" t="s">
        <v>209</v>
      </c>
      <c r="C22" s="691" t="s">
        <v>189</v>
      </c>
      <c r="D22" s="692">
        <f>SUM(D23:D27)</f>
        <v>463509000</v>
      </c>
      <c r="E22" s="1455">
        <f>SUM(E23:E27)</f>
        <v>463509000</v>
      </c>
      <c r="F22" s="1447">
        <f>SUM(F23,F26)</f>
        <v>0</v>
      </c>
      <c r="G22" s="636"/>
      <c r="H22" s="637"/>
      <c r="I22" s="637"/>
      <c r="J22" s="637"/>
      <c r="K22" s="637"/>
      <c r="L22" s="637"/>
      <c r="M22" s="637"/>
      <c r="N22" s="690"/>
    </row>
    <row r="23" spans="1:16" s="119" customFormat="1" ht="15" customHeight="1">
      <c r="A23" s="693"/>
      <c r="B23" s="694"/>
      <c r="C23" s="695" t="s">
        <v>85</v>
      </c>
      <c r="D23" s="43">
        <v>433509000</v>
      </c>
      <c r="E23" s="1446">
        <f>N23</f>
        <v>433509000</v>
      </c>
      <c r="F23" s="1447">
        <f>E23-D23</f>
        <v>0</v>
      </c>
      <c r="G23" s="696"/>
      <c r="H23" s="697"/>
      <c r="I23" s="544"/>
      <c r="J23" s="698"/>
      <c r="K23" s="544"/>
      <c r="L23" s="699"/>
      <c r="M23" s="683"/>
      <c r="N23" s="700">
        <f>SUM(N24:N25)</f>
        <v>433509000</v>
      </c>
    </row>
    <row r="24" spans="1:16" s="119" customFormat="1" ht="15" customHeight="1">
      <c r="A24" s="693"/>
      <c r="B24" s="701"/>
      <c r="C24" s="702"/>
      <c r="D24" s="79"/>
      <c r="E24" s="1448"/>
      <c r="F24" s="1449"/>
      <c r="G24" s="703" t="s">
        <v>259</v>
      </c>
      <c r="H24" s="704"/>
      <c r="I24" s="430">
        <v>34409083</v>
      </c>
      <c r="J24" s="705"/>
      <c r="K24" s="1279" t="s">
        <v>29</v>
      </c>
      <c r="L24" s="706">
        <v>12</v>
      </c>
      <c r="M24" s="707" t="s">
        <v>36</v>
      </c>
      <c r="N24" s="708">
        <f>I24*L24+4</f>
        <v>412909000</v>
      </c>
      <c r="O24" s="1310"/>
      <c r="P24" s="582"/>
    </row>
    <row r="25" spans="1:16" s="119" customFormat="1" ht="15" customHeight="1">
      <c r="A25" s="693"/>
      <c r="B25" s="701"/>
      <c r="C25" s="709"/>
      <c r="D25" s="78"/>
      <c r="E25" s="1456"/>
      <c r="F25" s="1453"/>
      <c r="G25" s="1565" t="s">
        <v>177</v>
      </c>
      <c r="H25" s="1566"/>
      <c r="I25" s="710">
        <v>10300000</v>
      </c>
      <c r="J25" s="711"/>
      <c r="K25" s="1279" t="s">
        <v>29</v>
      </c>
      <c r="L25" s="712">
        <v>2</v>
      </c>
      <c r="M25" s="707" t="s">
        <v>36</v>
      </c>
      <c r="N25" s="708">
        <f>I25*L25</f>
        <v>20600000</v>
      </c>
      <c r="O25" s="1310"/>
      <c r="P25" s="582"/>
    </row>
    <row r="26" spans="1:16" s="119" customFormat="1" ht="15" customHeight="1">
      <c r="A26" s="713"/>
      <c r="B26" s="714"/>
      <c r="C26" s="695" t="s">
        <v>94</v>
      </c>
      <c r="D26" s="43">
        <v>30000000</v>
      </c>
      <c r="E26" s="1446">
        <f>N26</f>
        <v>30000000</v>
      </c>
      <c r="F26" s="1451">
        <f>E26-D26</f>
        <v>0</v>
      </c>
      <c r="G26" s="636"/>
      <c r="H26" s="697"/>
      <c r="I26" s="544"/>
      <c r="J26" s="715"/>
      <c r="K26" s="544"/>
      <c r="L26" s="699"/>
      <c r="M26" s="683"/>
      <c r="N26" s="700">
        <f>SUM(N27:N27)</f>
        <v>30000000</v>
      </c>
    </row>
    <row r="27" spans="1:16" s="119" customFormat="1" ht="15" customHeight="1">
      <c r="A27" s="713"/>
      <c r="B27" s="714"/>
      <c r="C27" s="716"/>
      <c r="D27" s="79"/>
      <c r="E27" s="1448"/>
      <c r="F27" s="1453"/>
      <c r="G27" s="717" t="s">
        <v>263</v>
      </c>
      <c r="H27" s="718">
        <v>2500000</v>
      </c>
      <c r="I27" s="1300"/>
      <c r="J27" s="1300"/>
      <c r="K27" s="1300" t="s">
        <v>29</v>
      </c>
      <c r="L27" s="719">
        <v>12</v>
      </c>
      <c r="M27" s="648" t="s">
        <v>36</v>
      </c>
      <c r="N27" s="720">
        <f>H27*L27</f>
        <v>30000000</v>
      </c>
      <c r="O27" s="1310"/>
      <c r="P27" s="1418"/>
    </row>
    <row r="28" spans="1:16" s="119" customFormat="1" ht="15" customHeight="1">
      <c r="A28" s="721" t="s">
        <v>219</v>
      </c>
      <c r="B28" s="1556" t="s">
        <v>244</v>
      </c>
      <c r="C28" s="1557"/>
      <c r="D28" s="722">
        <f>SUM(D29)</f>
        <v>0</v>
      </c>
      <c r="E28" s="1457">
        <f>SUM(E29)</f>
        <v>0</v>
      </c>
      <c r="F28" s="1454">
        <f>F29</f>
        <v>0</v>
      </c>
      <c r="G28" s="636"/>
      <c r="H28" s="723"/>
      <c r="I28" s="637"/>
      <c r="J28" s="637"/>
      <c r="K28" s="637"/>
      <c r="L28" s="637"/>
      <c r="M28" s="637"/>
      <c r="N28" s="690"/>
    </row>
    <row r="29" spans="1:16" s="119" customFormat="1" ht="15" customHeight="1">
      <c r="A29" s="724"/>
      <c r="B29" s="695" t="s">
        <v>240</v>
      </c>
      <c r="C29" s="641" t="s">
        <v>189</v>
      </c>
      <c r="D29" s="43">
        <f t="shared" ref="D29:F29" si="0">SUM(D30:D32)</f>
        <v>0</v>
      </c>
      <c r="E29" s="1446">
        <f t="shared" si="0"/>
        <v>0</v>
      </c>
      <c r="F29" s="1451">
        <f t="shared" si="0"/>
        <v>0</v>
      </c>
      <c r="G29" s="636"/>
      <c r="H29" s="725"/>
      <c r="I29" s="637"/>
      <c r="J29" s="637"/>
      <c r="K29" s="637"/>
      <c r="L29" s="637"/>
      <c r="M29" s="637"/>
      <c r="N29" s="690"/>
      <c r="O29" s="582"/>
      <c r="P29" s="582"/>
    </row>
    <row r="30" spans="1:16" s="119" customFormat="1" ht="15" customHeight="1">
      <c r="A30" s="693"/>
      <c r="B30" s="702"/>
      <c r="C30" s="702" t="s">
        <v>109</v>
      </c>
      <c r="D30" s="79">
        <v>0</v>
      </c>
      <c r="E30" s="1448">
        <f>SUM(N30:N31)</f>
        <v>0</v>
      </c>
      <c r="F30" s="1449">
        <f>E30-D30</f>
        <v>0</v>
      </c>
      <c r="G30" s="703"/>
      <c r="H30" s="704"/>
      <c r="I30" s="718"/>
      <c r="J30" s="726"/>
      <c r="K30" s="1300"/>
      <c r="L30" s="727"/>
      <c r="M30" s="648"/>
      <c r="N30" s="728"/>
    </row>
    <row r="31" spans="1:16" s="119" customFormat="1" ht="15" customHeight="1">
      <c r="A31" s="693"/>
      <c r="B31" s="729"/>
      <c r="C31" s="730"/>
      <c r="D31" s="731"/>
      <c r="E31" s="1458"/>
      <c r="F31" s="1459"/>
      <c r="G31" s="654"/>
      <c r="H31" s="732"/>
      <c r="I31" s="733"/>
      <c r="J31" s="734"/>
      <c r="K31" s="735"/>
      <c r="L31" s="736"/>
      <c r="M31" s="655"/>
      <c r="N31" s="737"/>
    </row>
    <row r="32" spans="1:16" s="581" customFormat="1" ht="15" customHeight="1">
      <c r="A32" s="738"/>
      <c r="B32" s="739"/>
      <c r="C32" s="740" t="s">
        <v>158</v>
      </c>
      <c r="D32" s="43">
        <v>0</v>
      </c>
      <c r="E32" s="1446">
        <v>0</v>
      </c>
      <c r="F32" s="1451">
        <f>D32-E32</f>
        <v>0</v>
      </c>
      <c r="G32" s="696"/>
      <c r="H32" s="697"/>
      <c r="I32" s="697"/>
      <c r="J32" s="698"/>
      <c r="K32" s="544"/>
      <c r="L32" s="741"/>
      <c r="M32" s="683"/>
      <c r="N32" s="700"/>
    </row>
    <row r="33" spans="1:19" s="119" customFormat="1" ht="15" customHeight="1">
      <c r="A33" s="742" t="s">
        <v>233</v>
      </c>
      <c r="B33" s="1552" t="s">
        <v>244</v>
      </c>
      <c r="C33" s="1553"/>
      <c r="D33" s="743">
        <f>SUM(D34)</f>
        <v>108552910</v>
      </c>
      <c r="E33" s="1460">
        <f>SUM(E34)</f>
        <v>169387216</v>
      </c>
      <c r="F33" s="1461">
        <f>F34</f>
        <v>60834306</v>
      </c>
      <c r="G33" s="744"/>
      <c r="H33" s="745"/>
      <c r="I33" s="745"/>
      <c r="J33" s="745"/>
      <c r="K33" s="745"/>
      <c r="L33" s="745"/>
      <c r="M33" s="745"/>
      <c r="N33" s="708"/>
    </row>
    <row r="34" spans="1:19" s="119" customFormat="1" ht="15" customHeight="1">
      <c r="A34" s="1554"/>
      <c r="B34" s="695" t="s">
        <v>248</v>
      </c>
      <c r="C34" s="641" t="s">
        <v>189</v>
      </c>
      <c r="D34" s="43">
        <f>SUM(D35:D41)</f>
        <v>108552910</v>
      </c>
      <c r="E34" s="1446">
        <f>SUM(E35:E41)</f>
        <v>169387216</v>
      </c>
      <c r="F34" s="1451">
        <f>SUM(F35,F39,F42)</f>
        <v>60834306</v>
      </c>
      <c r="G34" s="703"/>
      <c r="H34" s="746"/>
      <c r="I34" s="746"/>
      <c r="J34" s="746"/>
      <c r="K34" s="746"/>
      <c r="L34" s="746"/>
      <c r="M34" s="746"/>
      <c r="N34" s="747"/>
      <c r="O34" s="748"/>
    </row>
    <row r="35" spans="1:19" s="119" customFormat="1" ht="15" customHeight="1">
      <c r="A35" s="1555"/>
      <c r="B35" s="694"/>
      <c r="C35" s="695" t="s">
        <v>87</v>
      </c>
      <c r="D35" s="43">
        <v>46552910</v>
      </c>
      <c r="E35" s="1446">
        <f>SUM(N36:N38)</f>
        <v>48880736</v>
      </c>
      <c r="F35" s="1462">
        <f>E35-D35</f>
        <v>2327826</v>
      </c>
      <c r="G35" s="636"/>
      <c r="H35" s="750"/>
      <c r="I35" s="544"/>
      <c r="J35" s="682"/>
      <c r="K35" s="751"/>
      <c r="L35" s="682"/>
      <c r="M35" s="683"/>
      <c r="N35" s="700"/>
      <c r="O35" s="582"/>
      <c r="P35" s="582"/>
    </row>
    <row r="36" spans="1:19" s="119" customFormat="1" ht="15" customHeight="1">
      <c r="A36" s="752"/>
      <c r="B36" s="701"/>
      <c r="C36" s="753"/>
      <c r="D36" s="754"/>
      <c r="E36" s="1463"/>
      <c r="F36" s="1464"/>
      <c r="G36" s="674" t="s">
        <v>208</v>
      </c>
      <c r="H36" s="755">
        <v>31741700</v>
      </c>
      <c r="I36" s="1279"/>
      <c r="J36" s="756"/>
      <c r="K36" s="1279" t="s">
        <v>29</v>
      </c>
      <c r="L36" s="756">
        <v>1</v>
      </c>
      <c r="M36" s="707" t="s">
        <v>36</v>
      </c>
      <c r="N36" s="757">
        <f>SUM(H36*L36)</f>
        <v>31741700</v>
      </c>
      <c r="O36" s="582"/>
      <c r="S36" s="758"/>
    </row>
    <row r="37" spans="1:19" s="119" customFormat="1" ht="15" customHeight="1">
      <c r="A37" s="752"/>
      <c r="B37" s="701"/>
      <c r="C37" s="753"/>
      <c r="D37" s="754"/>
      <c r="E37" s="1463"/>
      <c r="F37" s="1464"/>
      <c r="G37" s="674" t="s">
        <v>292</v>
      </c>
      <c r="H37" s="755">
        <v>17139036</v>
      </c>
      <c r="I37" s="1279"/>
      <c r="J37" s="756"/>
      <c r="K37" s="1279" t="s">
        <v>29</v>
      </c>
      <c r="L37" s="756">
        <v>1</v>
      </c>
      <c r="M37" s="707" t="s">
        <v>36</v>
      </c>
      <c r="N37" s="757">
        <f>SUM(H37*L37)</f>
        <v>17139036</v>
      </c>
      <c r="O37" s="582"/>
      <c r="P37" s="748"/>
      <c r="S37" s="758"/>
    </row>
    <row r="38" spans="1:19" s="119" customFormat="1" ht="15" customHeight="1">
      <c r="A38" s="752"/>
      <c r="B38" s="701"/>
      <c r="C38" s="753"/>
      <c r="D38" s="754"/>
      <c r="E38" s="1463"/>
      <c r="F38" s="1464"/>
      <c r="G38" s="759" t="s">
        <v>220</v>
      </c>
      <c r="H38" s="755"/>
      <c r="I38" s="1279"/>
      <c r="J38" s="756"/>
      <c r="K38" s="745"/>
      <c r="L38" s="756"/>
      <c r="M38" s="707"/>
      <c r="N38" s="757"/>
      <c r="O38" s="582"/>
    </row>
    <row r="39" spans="1:19" s="119" customFormat="1" ht="15" customHeight="1">
      <c r="A39" s="760"/>
      <c r="B39" s="761"/>
      <c r="C39" s="762" t="s">
        <v>15</v>
      </c>
      <c r="D39" s="763">
        <v>62000000</v>
      </c>
      <c r="E39" s="1465">
        <f>SUM(N40:N41)</f>
        <v>120506480</v>
      </c>
      <c r="F39" s="1462">
        <f>E39-D39</f>
        <v>58506480</v>
      </c>
      <c r="G39" s="764"/>
      <c r="H39" s="765"/>
      <c r="I39" s="544"/>
      <c r="J39" s="766"/>
      <c r="K39" s="767"/>
      <c r="L39" s="767"/>
      <c r="M39" s="766"/>
      <c r="N39" s="768"/>
      <c r="O39" s="582"/>
      <c r="Q39" s="582"/>
    </row>
    <row r="40" spans="1:19" s="119" customFormat="1" ht="15" customHeight="1">
      <c r="A40" s="760"/>
      <c r="B40" s="761"/>
      <c r="C40" s="769"/>
      <c r="D40" s="770"/>
      <c r="E40" s="1466"/>
      <c r="F40" s="1467"/>
      <c r="G40" s="772" t="s">
        <v>271</v>
      </c>
      <c r="H40" s="773">
        <v>93066663</v>
      </c>
      <c r="I40" s="1279"/>
      <c r="J40" s="756"/>
      <c r="K40" s="1240" t="s">
        <v>29</v>
      </c>
      <c r="L40" s="756">
        <v>1</v>
      </c>
      <c r="M40" s="707" t="s">
        <v>36</v>
      </c>
      <c r="N40" s="757">
        <f>H40*L40</f>
        <v>93066663</v>
      </c>
      <c r="O40" s="582"/>
      <c r="P40" s="582"/>
    </row>
    <row r="41" spans="1:19" s="119" customFormat="1" ht="15" customHeight="1">
      <c r="A41" s="760"/>
      <c r="B41" s="761"/>
      <c r="C41" s="774"/>
      <c r="D41" s="770"/>
      <c r="E41" s="770"/>
      <c r="F41" s="771"/>
      <c r="G41" s="772" t="s">
        <v>98</v>
      </c>
      <c r="H41" s="755">
        <v>27439817</v>
      </c>
      <c r="I41" s="1279"/>
      <c r="J41" s="756"/>
      <c r="K41" s="1240" t="s">
        <v>29</v>
      </c>
      <c r="L41" s="756">
        <v>1</v>
      </c>
      <c r="M41" s="707" t="s">
        <v>36</v>
      </c>
      <c r="N41" s="757">
        <f>H41*L41</f>
        <v>27439817</v>
      </c>
      <c r="O41" s="1419"/>
    </row>
    <row r="42" spans="1:19" s="119" customFormat="1" ht="15" customHeight="1">
      <c r="A42" s="760"/>
      <c r="B42" s="761"/>
      <c r="C42" s="775" t="s">
        <v>101</v>
      </c>
      <c r="D42" s="763"/>
      <c r="E42" s="763"/>
      <c r="F42" s="749">
        <f>E42-D42</f>
        <v>0</v>
      </c>
      <c r="G42" s="764"/>
      <c r="H42" s="765"/>
      <c r="I42" s="544"/>
      <c r="J42" s="766"/>
      <c r="K42" s="767"/>
      <c r="L42" s="767"/>
      <c r="M42" s="766"/>
      <c r="N42" s="768"/>
      <c r="P42" s="582"/>
    </row>
    <row r="43" spans="1:19" s="119" customFormat="1" ht="15" customHeight="1">
      <c r="A43" s="721" t="s">
        <v>253</v>
      </c>
      <c r="B43" s="1556" t="s">
        <v>244</v>
      </c>
      <c r="C43" s="1557"/>
      <c r="D43" s="776">
        <f>SUM(D44)</f>
        <v>25651090</v>
      </c>
      <c r="E43" s="776">
        <f>SUM(E44)</f>
        <v>25652784</v>
      </c>
      <c r="F43" s="689">
        <f>F44</f>
        <v>1694</v>
      </c>
      <c r="G43" s="636"/>
      <c r="H43" s="637"/>
      <c r="I43" s="637"/>
      <c r="J43" s="637"/>
      <c r="K43" s="637"/>
      <c r="L43" s="637"/>
      <c r="M43" s="637"/>
      <c r="N43" s="690"/>
    </row>
    <row r="44" spans="1:19" s="119" customFormat="1" ht="15" customHeight="1">
      <c r="A44" s="724"/>
      <c r="B44" s="695" t="s">
        <v>222</v>
      </c>
      <c r="C44" s="641" t="s">
        <v>189</v>
      </c>
      <c r="D44" s="777">
        <f>SUM(D45:D50)</f>
        <v>25651090</v>
      </c>
      <c r="E44" s="777">
        <f>SUM(E45:E50)</f>
        <v>25652784</v>
      </c>
      <c r="F44" s="686">
        <f>SUM(F45:F46,F48)</f>
        <v>1694</v>
      </c>
      <c r="G44" s="636"/>
      <c r="H44" s="637"/>
      <c r="I44" s="637"/>
      <c r="J44" s="637"/>
      <c r="K44" s="637"/>
      <c r="L44" s="637"/>
      <c r="M44" s="637"/>
      <c r="N44" s="690"/>
      <c r="O44" s="748"/>
    </row>
    <row r="45" spans="1:19" s="119" customFormat="1" ht="15" customHeight="1">
      <c r="A45" s="693"/>
      <c r="B45" s="702"/>
      <c r="C45" s="778" t="s">
        <v>108</v>
      </c>
      <c r="D45" s="777"/>
      <c r="E45" s="777"/>
      <c r="F45" s="779">
        <f>E45-D45</f>
        <v>0</v>
      </c>
      <c r="G45" s="636"/>
      <c r="H45" s="637"/>
      <c r="I45" s="637"/>
      <c r="J45" s="637"/>
      <c r="K45" s="637"/>
      <c r="L45" s="637"/>
      <c r="M45" s="637"/>
      <c r="N45" s="690"/>
    </row>
    <row r="46" spans="1:19" s="119" customFormat="1" ht="15" customHeight="1">
      <c r="A46" s="693"/>
      <c r="B46" s="709"/>
      <c r="C46" s="780" t="s">
        <v>180</v>
      </c>
      <c r="D46" s="781">
        <v>100000</v>
      </c>
      <c r="E46" s="781">
        <f>N47</f>
        <v>100000</v>
      </c>
      <c r="F46" s="686">
        <f>E46-D46</f>
        <v>0</v>
      </c>
      <c r="G46" s="717"/>
      <c r="H46" s="718"/>
      <c r="I46" s="1300"/>
      <c r="J46" s="677"/>
      <c r="K46" s="1558"/>
      <c r="L46" s="1558"/>
      <c r="M46" s="648"/>
      <c r="N46" s="782"/>
      <c r="O46" s="748"/>
      <c r="P46" s="1420"/>
    </row>
    <row r="47" spans="1:19" s="119" customFormat="1" ht="15" customHeight="1">
      <c r="A47" s="693"/>
      <c r="B47" s="709"/>
      <c r="C47" s="783"/>
      <c r="D47" s="777"/>
      <c r="E47" s="777"/>
      <c r="F47" s="686"/>
      <c r="G47" s="636" t="s">
        <v>104</v>
      </c>
      <c r="H47" s="784"/>
      <c r="I47" s="557">
        <v>100000</v>
      </c>
      <c r="J47" s="682"/>
      <c r="K47" s="544" t="s">
        <v>29</v>
      </c>
      <c r="L47" s="682">
        <v>1</v>
      </c>
      <c r="M47" s="683" t="s">
        <v>36</v>
      </c>
      <c r="N47" s="786">
        <f>I47*L47</f>
        <v>100000</v>
      </c>
      <c r="O47" s="748"/>
    </row>
    <row r="48" spans="1:19" ht="15" customHeight="1">
      <c r="A48" s="500"/>
      <c r="B48" s="499"/>
      <c r="C48" s="499" t="s">
        <v>99</v>
      </c>
      <c r="D48" s="503">
        <v>25551090</v>
      </c>
      <c r="E48" s="504">
        <f>SUM(N49:N50)</f>
        <v>25552784</v>
      </c>
      <c r="F48" s="625">
        <f>E48-D48</f>
        <v>1694</v>
      </c>
      <c r="G48" s="502"/>
      <c r="H48" s="492"/>
      <c r="I48" s="102"/>
      <c r="J48" s="491"/>
      <c r="K48" s="102"/>
      <c r="L48" s="491"/>
      <c r="M48" s="490"/>
      <c r="N48" s="501"/>
    </row>
    <row r="49" spans="1:16" ht="15" customHeight="1">
      <c r="A49" s="500"/>
      <c r="B49" s="499"/>
      <c r="C49" s="498"/>
      <c r="D49" s="80"/>
      <c r="E49" s="536"/>
      <c r="F49" s="626"/>
      <c r="G49" s="497" t="s">
        <v>153</v>
      </c>
      <c r="H49" s="537"/>
      <c r="I49" s="1241">
        <v>3190000</v>
      </c>
      <c r="J49" s="496"/>
      <c r="K49" s="107" t="s">
        <v>29</v>
      </c>
      <c r="L49" s="496">
        <v>8</v>
      </c>
      <c r="M49" s="495" t="s">
        <v>36</v>
      </c>
      <c r="N49" s="505">
        <f>I49*L49+1090</f>
        <v>25521090</v>
      </c>
    </row>
    <row r="50" spans="1:16" ht="15" customHeight="1" thickBot="1">
      <c r="A50" s="520"/>
      <c r="B50" s="521"/>
      <c r="C50" s="521"/>
      <c r="D50" s="531"/>
      <c r="E50" s="531"/>
      <c r="F50" s="627"/>
      <c r="G50" s="532" t="s">
        <v>232</v>
      </c>
      <c r="H50" s="533"/>
      <c r="I50" s="1242">
        <v>31694</v>
      </c>
      <c r="J50" s="534"/>
      <c r="K50" s="522" t="s">
        <v>29</v>
      </c>
      <c r="L50" s="534">
        <v>1</v>
      </c>
      <c r="M50" s="535" t="s">
        <v>36</v>
      </c>
      <c r="N50" s="1500">
        <f>I50*L50</f>
        <v>31694</v>
      </c>
      <c r="P50" s="1421"/>
    </row>
    <row r="51" spans="1:16" ht="15" customHeight="1">
      <c r="A51" s="494"/>
      <c r="B51" s="494"/>
      <c r="C51" s="494"/>
      <c r="D51" s="91"/>
      <c r="E51" s="91"/>
      <c r="F51" s="92"/>
      <c r="G51" s="493"/>
      <c r="H51" s="492"/>
      <c r="I51" s="102"/>
      <c r="J51" s="491"/>
      <c r="K51" s="102"/>
      <c r="L51" s="529"/>
      <c r="M51" s="490"/>
      <c r="N51" s="530"/>
    </row>
    <row r="52" spans="1:16" ht="15" customHeight="1">
      <c r="A52" s="494"/>
      <c r="B52" s="494"/>
      <c r="C52" s="494"/>
      <c r="D52" s="494"/>
      <c r="E52" s="494"/>
      <c r="F52" s="494"/>
      <c r="G52" s="493"/>
      <c r="H52" s="492"/>
      <c r="I52" s="102"/>
      <c r="J52" s="491"/>
      <c r="K52" s="102"/>
      <c r="L52" s="491"/>
      <c r="M52" s="490"/>
      <c r="N52" s="489"/>
    </row>
  </sheetData>
  <mergeCells count="22">
    <mergeCell ref="G17:I17"/>
    <mergeCell ref="A1:N1"/>
    <mergeCell ref="A3:C3"/>
    <mergeCell ref="D3:D4"/>
    <mergeCell ref="E3:E4"/>
    <mergeCell ref="F3:F4"/>
    <mergeCell ref="G3:N4"/>
    <mergeCell ref="A5:C5"/>
    <mergeCell ref="B6:C6"/>
    <mergeCell ref="B10:C10"/>
    <mergeCell ref="B13:C13"/>
    <mergeCell ref="G16:I16"/>
    <mergeCell ref="B33:C33"/>
    <mergeCell ref="A34:A35"/>
    <mergeCell ref="B43:C43"/>
    <mergeCell ref="K46:L46"/>
    <mergeCell ref="G18:I18"/>
    <mergeCell ref="G19:I19"/>
    <mergeCell ref="G20:I20"/>
    <mergeCell ref="B21:C21"/>
    <mergeCell ref="G25:H25"/>
    <mergeCell ref="B28:C28"/>
  </mergeCells>
  <phoneticPr fontId="54" type="noConversion"/>
  <printOptions horizontalCentered="1"/>
  <pageMargins left="0.39347222447395325" right="0.39347222447395325" top="0.74777776002883911" bottom="0.74777776002883911" header="0.31486111879348755" footer="0.31486111879348755"/>
  <pageSetup paperSize="9" scale="88" fitToHeight="0" orientation="landscape" r:id="rId1"/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9021-59A4-47A6-9BBF-DB6FCBCF5E52}">
  <sheetPr>
    <pageSetUpPr fitToPage="1"/>
  </sheetPr>
  <dimension ref="A1:R244"/>
  <sheetViews>
    <sheetView view="pageBreakPreview" zoomScale="115" zoomScaleNormal="100" zoomScaleSheetLayoutView="115" workbookViewId="0">
      <pane ySplit="5" topLeftCell="A222" activePane="bottomLeft" state="frozen"/>
      <selection pane="bottomLeft" activeCell="Q232" sqref="Q232"/>
    </sheetView>
  </sheetViews>
  <sheetFormatPr defaultColWidth="8.75" defaultRowHeight="16.5"/>
  <cols>
    <col min="1" max="1" width="9" style="119" customWidth="1"/>
    <col min="2" max="2" width="9.125" style="119" customWidth="1"/>
    <col min="3" max="3" width="13.625" style="119" customWidth="1"/>
    <col min="4" max="5" width="12.75" style="119" bestFit="1" customWidth="1"/>
    <col min="6" max="6" width="13.125" style="119" bestFit="1" customWidth="1"/>
    <col min="7" max="7" width="37.75" style="119" customWidth="1"/>
    <col min="8" max="8" width="13.25" style="119" bestFit="1" customWidth="1"/>
    <col min="9" max="9" width="2.5" style="119" bestFit="1" customWidth="1"/>
    <col min="10" max="12" width="6.875" style="119" bestFit="1" customWidth="1"/>
    <col min="13" max="13" width="2.5" style="119" bestFit="1" customWidth="1"/>
    <col min="14" max="14" width="7.5" style="119" bestFit="1" customWidth="1"/>
    <col min="15" max="15" width="2.5" style="119" bestFit="1" customWidth="1"/>
    <col min="16" max="16" width="12.75" style="119" bestFit="1" customWidth="1"/>
    <col min="17" max="17" width="12.625" style="119" bestFit="1" customWidth="1"/>
    <col min="18" max="16384" width="8.75" style="119"/>
  </cols>
  <sheetData>
    <row r="1" spans="1:16" ht="35.1" customHeight="1">
      <c r="A1" s="1593" t="s">
        <v>290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</row>
    <row r="2" spans="1:16" s="1396" customFormat="1" ht="15" customHeight="1" thickBot="1">
      <c r="A2" s="1319" t="s">
        <v>245</v>
      </c>
      <c r="B2" s="1319"/>
      <c r="C2" s="1317"/>
      <c r="D2" s="1312"/>
      <c r="E2" s="1318"/>
      <c r="F2" s="1312"/>
      <c r="G2" s="1317"/>
      <c r="H2" s="1316"/>
      <c r="I2" s="1314"/>
      <c r="J2" s="1315"/>
      <c r="K2" s="1314"/>
      <c r="L2" s="1314"/>
      <c r="M2" s="1313"/>
      <c r="N2" s="1312"/>
      <c r="O2" s="1312"/>
      <c r="P2" s="1311" t="s">
        <v>75</v>
      </c>
    </row>
    <row r="3" spans="1:16" ht="15" customHeight="1">
      <c r="A3" s="1594" t="s">
        <v>192</v>
      </c>
      <c r="B3" s="1595"/>
      <c r="C3" s="1596"/>
      <c r="D3" s="1537" t="s">
        <v>297</v>
      </c>
      <c r="E3" s="1539" t="s">
        <v>299</v>
      </c>
      <c r="F3" s="1597" t="s">
        <v>293</v>
      </c>
      <c r="G3" s="1599" t="s">
        <v>225</v>
      </c>
      <c r="H3" s="1600"/>
      <c r="I3" s="1600"/>
      <c r="J3" s="1600"/>
      <c r="K3" s="1600"/>
      <c r="L3" s="1600"/>
      <c r="M3" s="1600"/>
      <c r="N3" s="1600"/>
      <c r="O3" s="1600"/>
      <c r="P3" s="1601"/>
    </row>
    <row r="4" spans="1:16" ht="15" customHeight="1" thickBot="1">
      <c r="A4" s="797" t="s">
        <v>0</v>
      </c>
      <c r="B4" s="798" t="s">
        <v>2</v>
      </c>
      <c r="C4" s="798" t="s">
        <v>1</v>
      </c>
      <c r="D4" s="1538"/>
      <c r="E4" s="1540"/>
      <c r="F4" s="1598"/>
      <c r="G4" s="1602"/>
      <c r="H4" s="1603"/>
      <c r="I4" s="1603"/>
      <c r="J4" s="1603"/>
      <c r="K4" s="1603"/>
      <c r="L4" s="1603"/>
      <c r="M4" s="1603"/>
      <c r="N4" s="1603"/>
      <c r="O4" s="1603"/>
      <c r="P4" s="1604"/>
    </row>
    <row r="5" spans="1:16" ht="15" customHeight="1">
      <c r="A5" s="1585" t="s">
        <v>194</v>
      </c>
      <c r="B5" s="1586"/>
      <c r="C5" s="1587"/>
      <c r="D5" s="799">
        <f>SUM(D6,D186,D191,D233,D237)</f>
        <v>1377711000</v>
      </c>
      <c r="E5" s="799">
        <f>SUM(E6,E186,E191,E233,E237)</f>
        <v>1438547000</v>
      </c>
      <c r="F5" s="984">
        <f>SUM(F6,F186,F191,F233,F237)</f>
        <v>60836000</v>
      </c>
      <c r="G5" s="800"/>
      <c r="H5" s="801"/>
      <c r="I5" s="802"/>
      <c r="J5" s="803"/>
      <c r="K5" s="802"/>
      <c r="L5" s="802"/>
      <c r="M5" s="804"/>
      <c r="N5" s="804"/>
      <c r="O5" s="805"/>
      <c r="P5" s="806"/>
    </row>
    <row r="6" spans="1:16" ht="15" customHeight="1">
      <c r="A6" s="807" t="s">
        <v>185</v>
      </c>
      <c r="B6" s="1588" t="s">
        <v>123</v>
      </c>
      <c r="C6" s="1589"/>
      <c r="D6" s="164">
        <f>SUM(D7,D104,D111)</f>
        <v>772151000</v>
      </c>
      <c r="E6" s="164">
        <f>SUM(E7,E104,E111)</f>
        <v>772950630</v>
      </c>
      <c r="F6" s="985">
        <f>E6-D6</f>
        <v>799630</v>
      </c>
      <c r="G6" s="808"/>
      <c r="H6" s="809"/>
      <c r="I6" s="810"/>
      <c r="J6" s="811"/>
      <c r="K6" s="810"/>
      <c r="L6" s="810"/>
      <c r="M6" s="812"/>
      <c r="N6" s="812"/>
      <c r="O6" s="813"/>
      <c r="P6" s="814"/>
    </row>
    <row r="7" spans="1:16" ht="15" customHeight="1">
      <c r="A7" s="313"/>
      <c r="B7" s="314" t="s">
        <v>186</v>
      </c>
      <c r="C7" s="315" t="s">
        <v>3</v>
      </c>
      <c r="D7" s="239">
        <f>SUM(D8:D103)</f>
        <v>664334612</v>
      </c>
      <c r="E7" s="239">
        <f>SUM(E8:E103)</f>
        <v>664334612</v>
      </c>
      <c r="F7" s="986">
        <f>E7-D7</f>
        <v>0</v>
      </c>
      <c r="G7" s="316"/>
      <c r="H7" s="317"/>
      <c r="I7" s="1484"/>
      <c r="J7" s="318"/>
      <c r="K7" s="1484"/>
      <c r="L7" s="1484"/>
      <c r="M7" s="1484"/>
      <c r="N7" s="319"/>
      <c r="O7" s="559"/>
      <c r="P7" s="320"/>
    </row>
    <row r="8" spans="1:16" ht="15" customHeight="1">
      <c r="A8" s="321"/>
      <c r="B8" s="815"/>
      <c r="C8" s="322" t="s">
        <v>202</v>
      </c>
      <c r="D8" s="323">
        <v>462344000</v>
      </c>
      <c r="E8" s="1468">
        <f>SUM(P9)</f>
        <v>450863735</v>
      </c>
      <c r="F8" s="986">
        <f>E8-D8</f>
        <v>-11480265</v>
      </c>
      <c r="G8" s="316"/>
      <c r="H8" s="325"/>
      <c r="I8" s="1484"/>
      <c r="J8" s="318"/>
      <c r="K8" s="1484"/>
      <c r="L8" s="1484"/>
      <c r="M8" s="1484"/>
      <c r="N8" s="319"/>
      <c r="O8" s="559"/>
      <c r="P8" s="326"/>
    </row>
    <row r="9" spans="1:16" ht="15" customHeight="1">
      <c r="A9" s="321"/>
      <c r="B9" s="327"/>
      <c r="C9" s="328"/>
      <c r="D9" s="329"/>
      <c r="E9" s="329"/>
      <c r="F9" s="987"/>
      <c r="G9" s="816" t="s">
        <v>241</v>
      </c>
      <c r="H9" s="1283"/>
      <c r="I9" s="1482"/>
      <c r="J9" s="1295"/>
      <c r="K9" s="1482"/>
      <c r="L9" s="1283"/>
      <c r="M9" s="1482"/>
      <c r="N9" s="1289"/>
      <c r="O9" s="1289"/>
      <c r="P9" s="332">
        <f>SUM(P10:P35)</f>
        <v>450863735</v>
      </c>
    </row>
    <row r="10" spans="1:16" ht="15" customHeight="1">
      <c r="A10" s="321"/>
      <c r="B10" s="817"/>
      <c r="C10" s="333"/>
      <c r="D10" s="409"/>
      <c r="E10" s="409"/>
      <c r="F10" s="988"/>
      <c r="G10" s="1501" t="s">
        <v>328</v>
      </c>
      <c r="H10" s="1502">
        <v>3188200</v>
      </c>
      <c r="I10" s="1503" t="s">
        <v>29</v>
      </c>
      <c r="J10" s="1504">
        <v>1</v>
      </c>
      <c r="K10" s="1505"/>
      <c r="L10" s="1503" t="s">
        <v>29</v>
      </c>
      <c r="M10" s="1506"/>
      <c r="N10" s="1507">
        <v>12</v>
      </c>
      <c r="O10" s="1507" t="s">
        <v>36</v>
      </c>
      <c r="P10" s="1388">
        <f t="shared" ref="P10:P35" si="0">H10*J10*N10</f>
        <v>38258400</v>
      </c>
    </row>
    <row r="11" spans="1:16" ht="15" customHeight="1">
      <c r="A11" s="321"/>
      <c r="B11" s="817"/>
      <c r="C11" s="333"/>
      <c r="D11" s="411"/>
      <c r="E11" s="411"/>
      <c r="F11" s="989"/>
      <c r="G11" s="1508" t="s">
        <v>329</v>
      </c>
      <c r="H11" s="1509">
        <v>2713000</v>
      </c>
      <c r="I11" s="1503" t="s">
        <v>29</v>
      </c>
      <c r="J11" s="1510">
        <v>1</v>
      </c>
      <c r="K11" s="1511"/>
      <c r="L11" s="1503" t="s">
        <v>29</v>
      </c>
      <c r="M11" s="1512"/>
      <c r="N11" s="1513">
        <v>10</v>
      </c>
      <c r="O11" s="1513" t="s">
        <v>36</v>
      </c>
      <c r="P11" s="1388">
        <f t="shared" si="0"/>
        <v>27130000</v>
      </c>
    </row>
    <row r="12" spans="1:16" ht="15" customHeight="1">
      <c r="A12" s="321"/>
      <c r="B12" s="817"/>
      <c r="C12" s="333"/>
      <c r="D12" s="411"/>
      <c r="E12" s="411"/>
      <c r="F12" s="989"/>
      <c r="G12" s="1508" t="s">
        <v>330</v>
      </c>
      <c r="H12" s="1509">
        <v>2808100</v>
      </c>
      <c r="I12" s="1503" t="s">
        <v>29</v>
      </c>
      <c r="J12" s="1510">
        <v>1</v>
      </c>
      <c r="K12" s="1511"/>
      <c r="L12" s="1503" t="s">
        <v>29</v>
      </c>
      <c r="M12" s="1512"/>
      <c r="N12" s="1513">
        <v>2</v>
      </c>
      <c r="O12" s="1513" t="s">
        <v>36</v>
      </c>
      <c r="P12" s="1388">
        <f t="shared" si="0"/>
        <v>5616200</v>
      </c>
    </row>
    <row r="13" spans="1:16" ht="15" customHeight="1">
      <c r="A13" s="321"/>
      <c r="B13" s="817"/>
      <c r="C13" s="333"/>
      <c r="D13" s="411"/>
      <c r="E13" s="411"/>
      <c r="F13" s="989"/>
      <c r="G13" s="1508" t="s">
        <v>331</v>
      </c>
      <c r="H13" s="1509">
        <v>2331500</v>
      </c>
      <c r="I13" s="1503" t="s">
        <v>29</v>
      </c>
      <c r="J13" s="1510">
        <v>1</v>
      </c>
      <c r="K13" s="1511"/>
      <c r="L13" s="1503" t="s">
        <v>29</v>
      </c>
      <c r="M13" s="1512"/>
      <c r="N13" s="1513">
        <v>2</v>
      </c>
      <c r="O13" s="1513" t="s">
        <v>36</v>
      </c>
      <c r="P13" s="1388">
        <f t="shared" si="0"/>
        <v>4663000</v>
      </c>
    </row>
    <row r="14" spans="1:16" ht="15" customHeight="1">
      <c r="A14" s="321"/>
      <c r="B14" s="817"/>
      <c r="C14" s="333"/>
      <c r="D14" s="411"/>
      <c r="E14" s="411"/>
      <c r="F14" s="989"/>
      <c r="G14" s="1501" t="s">
        <v>332</v>
      </c>
      <c r="H14" s="1502">
        <v>2421500</v>
      </c>
      <c r="I14" s="1503" t="s">
        <v>29</v>
      </c>
      <c r="J14" s="1504">
        <v>1</v>
      </c>
      <c r="K14" s="1505"/>
      <c r="L14" s="1503" t="s">
        <v>29</v>
      </c>
      <c r="M14" s="1506"/>
      <c r="N14" s="1507">
        <v>10</v>
      </c>
      <c r="O14" s="1507" t="s">
        <v>36</v>
      </c>
      <c r="P14" s="1388">
        <f t="shared" si="0"/>
        <v>24215000</v>
      </c>
    </row>
    <row r="15" spans="1:16" ht="15" customHeight="1">
      <c r="A15" s="321"/>
      <c r="B15" s="817"/>
      <c r="C15" s="333"/>
      <c r="D15" s="411"/>
      <c r="E15" s="411"/>
      <c r="F15" s="989"/>
      <c r="G15" s="1501" t="s">
        <v>333</v>
      </c>
      <c r="H15" s="1502">
        <v>2331500</v>
      </c>
      <c r="I15" s="1503" t="s">
        <v>29</v>
      </c>
      <c r="J15" s="1504">
        <v>1</v>
      </c>
      <c r="K15" s="1505"/>
      <c r="L15" s="1503" t="s">
        <v>29</v>
      </c>
      <c r="M15" s="1506"/>
      <c r="N15" s="1507">
        <v>3</v>
      </c>
      <c r="O15" s="1507" t="s">
        <v>36</v>
      </c>
      <c r="P15" s="1388">
        <f t="shared" si="0"/>
        <v>6994500</v>
      </c>
    </row>
    <row r="16" spans="1:16" ht="15" customHeight="1">
      <c r="A16" s="321"/>
      <c r="B16" s="817"/>
      <c r="C16" s="333"/>
      <c r="D16" s="411"/>
      <c r="E16" s="411"/>
      <c r="F16" s="989"/>
      <c r="G16" s="1390" t="s">
        <v>334</v>
      </c>
      <c r="H16" s="1502">
        <v>2421500</v>
      </c>
      <c r="I16" s="1503" t="s">
        <v>29</v>
      </c>
      <c r="J16" s="1504">
        <v>1</v>
      </c>
      <c r="K16" s="1505"/>
      <c r="L16" s="1503" t="s">
        <v>29</v>
      </c>
      <c r="M16" s="1506"/>
      <c r="N16" s="1507">
        <v>9</v>
      </c>
      <c r="O16" s="1507" t="s">
        <v>36</v>
      </c>
      <c r="P16" s="1388">
        <f t="shared" si="0"/>
        <v>21793500</v>
      </c>
    </row>
    <row r="17" spans="1:16" s="1310" customFormat="1" ht="15" customHeight="1">
      <c r="A17" s="321"/>
      <c r="B17" s="817"/>
      <c r="C17" s="333"/>
      <c r="D17" s="411"/>
      <c r="E17" s="411"/>
      <c r="F17" s="989"/>
      <c r="G17" s="1390" t="s">
        <v>335</v>
      </c>
      <c r="H17" s="1502">
        <v>2065600</v>
      </c>
      <c r="I17" s="1503" t="s">
        <v>29</v>
      </c>
      <c r="J17" s="1504">
        <v>1</v>
      </c>
      <c r="K17" s="1505"/>
      <c r="L17" s="1503" t="s">
        <v>29</v>
      </c>
      <c r="M17" s="1514"/>
      <c r="N17" s="1507">
        <v>2</v>
      </c>
      <c r="O17" s="1507" t="s">
        <v>36</v>
      </c>
      <c r="P17" s="1388">
        <f t="shared" si="0"/>
        <v>4131200</v>
      </c>
    </row>
    <row r="18" spans="1:16" s="1310" customFormat="1" ht="15" customHeight="1">
      <c r="A18" s="321"/>
      <c r="B18" s="817"/>
      <c r="C18" s="333"/>
      <c r="D18" s="411"/>
      <c r="E18" s="411"/>
      <c r="F18" s="989"/>
      <c r="G18" s="1390" t="s">
        <v>336</v>
      </c>
      <c r="H18" s="1502">
        <v>2265800</v>
      </c>
      <c r="I18" s="1503" t="s">
        <v>29</v>
      </c>
      <c r="J18" s="1504">
        <v>1</v>
      </c>
      <c r="K18" s="1505"/>
      <c r="L18" s="1503" t="s">
        <v>29</v>
      </c>
      <c r="M18" s="1514"/>
      <c r="N18" s="1507">
        <v>10</v>
      </c>
      <c r="O18" s="1507" t="s">
        <v>36</v>
      </c>
      <c r="P18" s="1388">
        <f t="shared" si="0"/>
        <v>22658000</v>
      </c>
    </row>
    <row r="19" spans="1:16" s="1310" customFormat="1" ht="15" customHeight="1">
      <c r="A19" s="321"/>
      <c r="B19" s="817"/>
      <c r="C19" s="333"/>
      <c r="D19" s="411"/>
      <c r="E19" s="411"/>
      <c r="F19" s="989"/>
      <c r="G19" s="1508" t="s">
        <v>305</v>
      </c>
      <c r="H19" s="1509">
        <v>4812600</v>
      </c>
      <c r="I19" s="1515" t="s">
        <v>29</v>
      </c>
      <c r="J19" s="1510">
        <v>1</v>
      </c>
      <c r="K19" s="1511"/>
      <c r="L19" s="1515" t="s">
        <v>29</v>
      </c>
      <c r="M19" s="1516"/>
      <c r="N19" s="1513">
        <v>1</v>
      </c>
      <c r="O19" s="1513" t="s">
        <v>36</v>
      </c>
      <c r="P19" s="1363">
        <f t="shared" si="0"/>
        <v>4812600</v>
      </c>
    </row>
    <row r="20" spans="1:16" s="1310" customFormat="1" ht="15" customHeight="1">
      <c r="A20" s="818"/>
      <c r="B20" s="819"/>
      <c r="C20" s="819"/>
      <c r="D20" s="820"/>
      <c r="E20" s="820"/>
      <c r="F20" s="990"/>
      <c r="G20" s="1508" t="s">
        <v>341</v>
      </c>
      <c r="H20" s="1509">
        <v>4863800</v>
      </c>
      <c r="I20" s="1515" t="s">
        <v>29</v>
      </c>
      <c r="J20" s="1510">
        <v>1</v>
      </c>
      <c r="K20" s="1511"/>
      <c r="L20" s="1515" t="s">
        <v>29</v>
      </c>
      <c r="M20" s="1516"/>
      <c r="N20" s="1513">
        <v>11</v>
      </c>
      <c r="O20" s="1513" t="s">
        <v>36</v>
      </c>
      <c r="P20" s="1363">
        <f t="shared" si="0"/>
        <v>53501800</v>
      </c>
    </row>
    <row r="21" spans="1:16" s="1310" customFormat="1" ht="15" customHeight="1">
      <c r="A21" s="818"/>
      <c r="B21" s="819"/>
      <c r="C21" s="819"/>
      <c r="D21" s="820"/>
      <c r="E21" s="820"/>
      <c r="F21" s="990"/>
      <c r="G21" s="1508" t="s">
        <v>306</v>
      </c>
      <c r="H21" s="1509">
        <v>3663800</v>
      </c>
      <c r="I21" s="1515" t="s">
        <v>29</v>
      </c>
      <c r="J21" s="1510">
        <v>1</v>
      </c>
      <c r="K21" s="1511"/>
      <c r="L21" s="1515" t="s">
        <v>29</v>
      </c>
      <c r="M21" s="1516"/>
      <c r="N21" s="1513">
        <v>7</v>
      </c>
      <c r="O21" s="1513" t="s">
        <v>36</v>
      </c>
      <c r="P21" s="1363">
        <f t="shared" si="0"/>
        <v>25646600</v>
      </c>
    </row>
    <row r="22" spans="1:16" s="1310" customFormat="1" ht="15" customHeight="1">
      <c r="A22" s="818"/>
      <c r="B22" s="819"/>
      <c r="C22" s="819"/>
      <c r="D22" s="820"/>
      <c r="E22" s="820"/>
      <c r="F22" s="990"/>
      <c r="G22" s="1508" t="s">
        <v>307</v>
      </c>
      <c r="H22" s="1509">
        <v>3730900</v>
      </c>
      <c r="I22" s="1515" t="s">
        <v>29</v>
      </c>
      <c r="J22" s="1510">
        <v>1</v>
      </c>
      <c r="K22" s="1511"/>
      <c r="L22" s="1515" t="s">
        <v>29</v>
      </c>
      <c r="M22" s="1516"/>
      <c r="N22" s="1513">
        <v>5</v>
      </c>
      <c r="O22" s="1513" t="s">
        <v>36</v>
      </c>
      <c r="P22" s="1363">
        <f t="shared" si="0"/>
        <v>18654500</v>
      </c>
    </row>
    <row r="23" spans="1:16" s="1310" customFormat="1" ht="15" customHeight="1">
      <c r="A23" s="818"/>
      <c r="B23" s="819"/>
      <c r="C23" s="819"/>
      <c r="D23" s="820"/>
      <c r="E23" s="820"/>
      <c r="F23" s="990"/>
      <c r="G23" s="1508" t="s">
        <v>308</v>
      </c>
      <c r="H23" s="1509">
        <v>3522100</v>
      </c>
      <c r="I23" s="1515" t="s">
        <v>29</v>
      </c>
      <c r="J23" s="1510">
        <v>1</v>
      </c>
      <c r="K23" s="1511"/>
      <c r="L23" s="1515" t="s">
        <v>29</v>
      </c>
      <c r="M23" s="1516"/>
      <c r="N23" s="1513">
        <v>3</v>
      </c>
      <c r="O23" s="1513" t="s">
        <v>36</v>
      </c>
      <c r="P23" s="1364">
        <f t="shared" si="0"/>
        <v>10566300</v>
      </c>
    </row>
    <row r="24" spans="1:16" s="1310" customFormat="1" ht="15" customHeight="1">
      <c r="A24" s="818"/>
      <c r="B24" s="819"/>
      <c r="C24" s="819"/>
      <c r="D24" s="820"/>
      <c r="E24" s="820"/>
      <c r="F24" s="990"/>
      <c r="G24" s="1508" t="s">
        <v>309</v>
      </c>
      <c r="H24" s="1509">
        <v>3594600</v>
      </c>
      <c r="I24" s="1515" t="s">
        <v>29</v>
      </c>
      <c r="J24" s="1510">
        <v>1</v>
      </c>
      <c r="K24" s="1511"/>
      <c r="L24" s="1515" t="s">
        <v>29</v>
      </c>
      <c r="M24" s="1516"/>
      <c r="N24" s="1513">
        <v>9</v>
      </c>
      <c r="O24" s="1513" t="s">
        <v>36</v>
      </c>
      <c r="P24" s="1364">
        <f t="shared" si="0"/>
        <v>32351400</v>
      </c>
    </row>
    <row r="25" spans="1:16" s="1310" customFormat="1" ht="15" customHeight="1">
      <c r="A25" s="818"/>
      <c r="B25" s="819"/>
      <c r="C25" s="819"/>
      <c r="D25" s="820"/>
      <c r="E25" s="820"/>
      <c r="F25" s="990"/>
      <c r="G25" s="1501" t="s">
        <v>310</v>
      </c>
      <c r="H25" s="1502">
        <v>2808100</v>
      </c>
      <c r="I25" s="1515" t="s">
        <v>29</v>
      </c>
      <c r="J25" s="1504">
        <v>1</v>
      </c>
      <c r="K25" s="1505"/>
      <c r="L25" s="1515" t="s">
        <v>29</v>
      </c>
      <c r="M25" s="1517"/>
      <c r="N25" s="1507">
        <v>10</v>
      </c>
      <c r="O25" s="1507" t="s">
        <v>36</v>
      </c>
      <c r="P25" s="1363">
        <f t="shared" si="0"/>
        <v>28081000</v>
      </c>
    </row>
    <row r="26" spans="1:16" s="1310" customFormat="1" ht="15" customHeight="1">
      <c r="A26" s="818"/>
      <c r="B26" s="819"/>
      <c r="C26" s="819"/>
      <c r="D26" s="820"/>
      <c r="E26" s="1518"/>
      <c r="F26" s="990"/>
      <c r="G26" s="1501" t="s">
        <v>311</v>
      </c>
      <c r="H26" s="1502">
        <v>2903500</v>
      </c>
      <c r="I26" s="1515" t="s">
        <v>29</v>
      </c>
      <c r="J26" s="1504">
        <v>1</v>
      </c>
      <c r="K26" s="1505"/>
      <c r="L26" s="1515" t="s">
        <v>29</v>
      </c>
      <c r="M26" s="1517"/>
      <c r="N26" s="1507">
        <v>2</v>
      </c>
      <c r="O26" s="1507" t="s">
        <v>36</v>
      </c>
      <c r="P26" s="1363">
        <f t="shared" si="0"/>
        <v>5807000</v>
      </c>
    </row>
    <row r="27" spans="1:16" s="1310" customFormat="1" ht="15" customHeight="1">
      <c r="A27" s="818"/>
      <c r="B27" s="819"/>
      <c r="C27" s="819"/>
      <c r="D27" s="820"/>
      <c r="E27" s="820"/>
      <c r="F27" s="990"/>
      <c r="G27" s="1501" t="s">
        <v>312</v>
      </c>
      <c r="H27" s="1502">
        <v>2610800</v>
      </c>
      <c r="I27" s="1515" t="s">
        <v>29</v>
      </c>
      <c r="J27" s="1504">
        <v>1</v>
      </c>
      <c r="K27" s="1505"/>
      <c r="L27" s="1515" t="s">
        <v>29</v>
      </c>
      <c r="M27" s="1519"/>
      <c r="N27" s="1507">
        <v>3</v>
      </c>
      <c r="O27" s="1507" t="s">
        <v>36</v>
      </c>
      <c r="P27" s="1363">
        <f t="shared" si="0"/>
        <v>7832400</v>
      </c>
    </row>
    <row r="28" spans="1:16" s="1310" customFormat="1" ht="15" customHeight="1">
      <c r="A28" s="818"/>
      <c r="B28" s="819"/>
      <c r="C28" s="819"/>
      <c r="D28" s="820"/>
      <c r="E28" s="820"/>
      <c r="F28" s="990"/>
      <c r="G28" s="1501" t="s">
        <v>313</v>
      </c>
      <c r="H28" s="1502">
        <v>2713000</v>
      </c>
      <c r="I28" s="1515" t="s">
        <v>29</v>
      </c>
      <c r="J28" s="1504">
        <v>1</v>
      </c>
      <c r="K28" s="1505"/>
      <c r="L28" s="1515" t="s">
        <v>29</v>
      </c>
      <c r="M28" s="1519"/>
      <c r="N28" s="1507">
        <v>9</v>
      </c>
      <c r="O28" s="1507" t="s">
        <v>36</v>
      </c>
      <c r="P28" s="1363">
        <f t="shared" si="0"/>
        <v>24417000</v>
      </c>
    </row>
    <row r="29" spans="1:16" s="1310" customFormat="1" ht="15" customHeight="1">
      <c r="A29" s="818"/>
      <c r="B29" s="819"/>
      <c r="C29" s="819"/>
      <c r="D29" s="820"/>
      <c r="E29" s="820"/>
      <c r="F29" s="990"/>
      <c r="G29" s="1501" t="s">
        <v>314</v>
      </c>
      <c r="H29" s="1502">
        <v>2610800</v>
      </c>
      <c r="I29" s="1515" t="s">
        <v>29</v>
      </c>
      <c r="J29" s="1504">
        <v>1</v>
      </c>
      <c r="K29" s="1505"/>
      <c r="L29" s="1515" t="s">
        <v>29</v>
      </c>
      <c r="M29" s="1517"/>
      <c r="N29" s="1507">
        <v>5</v>
      </c>
      <c r="O29" s="1507" t="s">
        <v>36</v>
      </c>
      <c r="P29" s="1363">
        <f t="shared" si="0"/>
        <v>13054000</v>
      </c>
    </row>
    <row r="30" spans="1:16" s="1310" customFormat="1" ht="15" customHeight="1">
      <c r="A30" s="818"/>
      <c r="B30" s="819"/>
      <c r="C30" s="819"/>
      <c r="D30" s="820"/>
      <c r="E30" s="820"/>
      <c r="F30" s="990"/>
      <c r="G30" s="1501" t="s">
        <v>315</v>
      </c>
      <c r="H30" s="1502">
        <v>2713000</v>
      </c>
      <c r="I30" s="1515" t="s">
        <v>29</v>
      </c>
      <c r="J30" s="1504">
        <v>1</v>
      </c>
      <c r="K30" s="1505"/>
      <c r="L30" s="1515" t="s">
        <v>29</v>
      </c>
      <c r="M30" s="1517"/>
      <c r="N30" s="1507">
        <v>7</v>
      </c>
      <c r="O30" s="1507" t="s">
        <v>36</v>
      </c>
      <c r="P30" s="1363">
        <f t="shared" si="0"/>
        <v>18991000</v>
      </c>
    </row>
    <row r="31" spans="1:16" s="1310" customFormat="1" ht="15" customHeight="1">
      <c r="A31" s="818"/>
      <c r="B31" s="819"/>
      <c r="C31" s="819"/>
      <c r="D31" s="820"/>
      <c r="E31" s="820"/>
      <c r="F31" s="990"/>
      <c r="G31" s="1501" t="s">
        <v>316</v>
      </c>
      <c r="H31" s="1502">
        <v>2065600</v>
      </c>
      <c r="I31" s="1515" t="s">
        <v>29</v>
      </c>
      <c r="J31" s="1504">
        <v>1</v>
      </c>
      <c r="K31" s="1505"/>
      <c r="L31" s="1515" t="s">
        <v>29</v>
      </c>
      <c r="M31" s="1517"/>
      <c r="N31" s="1507">
        <v>3</v>
      </c>
      <c r="O31" s="1507" t="s">
        <v>36</v>
      </c>
      <c r="P31" s="1363">
        <f t="shared" si="0"/>
        <v>6196800</v>
      </c>
    </row>
    <row r="32" spans="1:16" s="1310" customFormat="1" ht="15" customHeight="1">
      <c r="A32" s="818"/>
      <c r="B32" s="819"/>
      <c r="C32" s="819"/>
      <c r="D32" s="820"/>
      <c r="E32" s="820"/>
      <c r="F32" s="990"/>
      <c r="G32" s="1501" t="s">
        <v>317</v>
      </c>
      <c r="H32" s="1502">
        <v>2265800</v>
      </c>
      <c r="I32" s="1515" t="s">
        <v>29</v>
      </c>
      <c r="J32" s="1504">
        <v>1</v>
      </c>
      <c r="K32" s="1505"/>
      <c r="L32" s="1515" t="s">
        <v>29</v>
      </c>
      <c r="M32" s="1517"/>
      <c r="N32" s="1507">
        <v>9</v>
      </c>
      <c r="O32" s="1507" t="s">
        <v>36</v>
      </c>
      <c r="P32" s="1363">
        <f t="shared" si="0"/>
        <v>20392200</v>
      </c>
    </row>
    <row r="33" spans="1:16" ht="15" customHeight="1">
      <c r="A33" s="818"/>
      <c r="B33" s="819"/>
      <c r="C33" s="819"/>
      <c r="D33" s="820"/>
      <c r="E33" s="820"/>
      <c r="F33" s="990"/>
      <c r="G33" s="1501" t="s">
        <v>320</v>
      </c>
      <c r="H33" s="1502">
        <v>3522214</v>
      </c>
      <c r="I33" s="1515" t="s">
        <v>29</v>
      </c>
      <c r="J33" s="1504">
        <v>1</v>
      </c>
      <c r="K33" s="1505"/>
      <c r="L33" s="1515" t="s">
        <v>29</v>
      </c>
      <c r="M33" s="1517"/>
      <c r="N33" s="1507">
        <v>1</v>
      </c>
      <c r="O33" s="1507" t="s">
        <v>36</v>
      </c>
      <c r="P33" s="1380">
        <f t="shared" si="0"/>
        <v>3522214</v>
      </c>
    </row>
    <row r="34" spans="1:16" ht="15" customHeight="1">
      <c r="A34" s="818"/>
      <c r="B34" s="819"/>
      <c r="C34" s="819"/>
      <c r="D34" s="820"/>
      <c r="E34" s="820"/>
      <c r="F34" s="990"/>
      <c r="G34" s="1501" t="s">
        <v>319</v>
      </c>
      <c r="H34" s="1502">
        <v>1371121</v>
      </c>
      <c r="I34" s="1515" t="s">
        <v>29</v>
      </c>
      <c r="J34" s="1504">
        <v>1</v>
      </c>
      <c r="K34" s="1505"/>
      <c r="L34" s="1515" t="s">
        <v>29</v>
      </c>
      <c r="M34" s="1517"/>
      <c r="N34" s="1507">
        <v>1</v>
      </c>
      <c r="O34" s="1507" t="s">
        <v>36</v>
      </c>
      <c r="P34" s="1380">
        <f t="shared" si="0"/>
        <v>1371121</v>
      </c>
    </row>
    <row r="35" spans="1:16" ht="15" customHeight="1">
      <c r="A35" s="818"/>
      <c r="B35" s="819"/>
      <c r="C35" s="819"/>
      <c r="D35" s="820"/>
      <c r="E35" s="820"/>
      <c r="F35" s="990"/>
      <c r="G35" s="1501" t="s">
        <v>319</v>
      </c>
      <c r="H35" s="1502">
        <v>2020600</v>
      </c>
      <c r="I35" s="1515" t="s">
        <v>29</v>
      </c>
      <c r="J35" s="1504">
        <v>1</v>
      </c>
      <c r="K35" s="1505"/>
      <c r="L35" s="1515" t="s">
        <v>29</v>
      </c>
      <c r="M35" s="1517"/>
      <c r="N35" s="1507">
        <v>10</v>
      </c>
      <c r="O35" s="1507" t="s">
        <v>36</v>
      </c>
      <c r="P35" s="1363">
        <f t="shared" si="0"/>
        <v>20206000</v>
      </c>
    </row>
    <row r="36" spans="1:16" ht="15" customHeight="1">
      <c r="A36" s="818"/>
      <c r="B36" s="819"/>
      <c r="C36" s="821" t="s">
        <v>197</v>
      </c>
      <c r="D36" s="822">
        <v>95730970</v>
      </c>
      <c r="E36" s="1425">
        <f>SUM(P37,P48,P72)</f>
        <v>90017188</v>
      </c>
      <c r="F36" s="986">
        <f>E36-D36</f>
        <v>-5713782</v>
      </c>
      <c r="G36" s="823"/>
      <c r="H36" s="824"/>
      <c r="I36" s="114"/>
      <c r="J36" s="824"/>
      <c r="K36" s="114"/>
      <c r="L36" s="825"/>
      <c r="M36" s="826"/>
      <c r="N36" s="825"/>
      <c r="O36" s="827"/>
      <c r="P36" s="828"/>
    </row>
    <row r="37" spans="1:16" ht="15" customHeight="1">
      <c r="A37" s="818"/>
      <c r="B37" s="819"/>
      <c r="C37" s="829"/>
      <c r="D37" s="830"/>
      <c r="E37" s="830"/>
      <c r="F37" s="990"/>
      <c r="G37" s="816" t="s">
        <v>230</v>
      </c>
      <c r="H37" s="831"/>
      <c r="I37" s="832"/>
      <c r="J37" s="833"/>
      <c r="K37" s="832"/>
      <c r="L37" s="831"/>
      <c r="M37" s="832"/>
      <c r="N37" s="834"/>
      <c r="O37" s="835"/>
      <c r="P37" s="1276">
        <f>SUM(P38:P47)</f>
        <v>7411428</v>
      </c>
    </row>
    <row r="38" spans="1:16" ht="15" customHeight="1">
      <c r="A38" s="818"/>
      <c r="B38" s="829"/>
      <c r="C38" s="829"/>
      <c r="D38" s="830"/>
      <c r="E38" s="830"/>
      <c r="F38" s="990"/>
      <c r="G38" s="1508" t="s">
        <v>337</v>
      </c>
      <c r="H38" s="1509">
        <v>40000</v>
      </c>
      <c r="I38" s="1515" t="s">
        <v>29</v>
      </c>
      <c r="J38" s="1520">
        <v>2</v>
      </c>
      <c r="K38" s="1511"/>
      <c r="L38" s="1515" t="s">
        <v>29</v>
      </c>
      <c r="M38" s="1511"/>
      <c r="N38" s="1513">
        <v>12</v>
      </c>
      <c r="O38" s="1513" t="s">
        <v>36</v>
      </c>
      <c r="P38" s="1363">
        <f t="shared" ref="P38:P45" si="1">SUM(H38*J38*N38)</f>
        <v>960000</v>
      </c>
    </row>
    <row r="39" spans="1:16" ht="15" customHeight="1">
      <c r="A39" s="818"/>
      <c r="B39" s="829"/>
      <c r="C39" s="829"/>
      <c r="D39" s="830"/>
      <c r="E39" s="830"/>
      <c r="F39" s="990"/>
      <c r="G39" s="1508" t="s">
        <v>338</v>
      </c>
      <c r="H39" s="1509">
        <v>20000</v>
      </c>
      <c r="I39" s="1515" t="s">
        <v>29</v>
      </c>
      <c r="J39" s="1520">
        <v>1</v>
      </c>
      <c r="K39" s="1511"/>
      <c r="L39" s="1515" t="s">
        <v>29</v>
      </c>
      <c r="M39" s="1521"/>
      <c r="N39" s="1513">
        <v>12</v>
      </c>
      <c r="O39" s="1513" t="s">
        <v>36</v>
      </c>
      <c r="P39" s="1363">
        <f t="shared" si="1"/>
        <v>240000</v>
      </c>
    </row>
    <row r="40" spans="1:16" ht="15" customHeight="1">
      <c r="A40" s="818"/>
      <c r="B40" s="829"/>
      <c r="C40" s="829"/>
      <c r="D40" s="830"/>
      <c r="E40" s="830"/>
      <c r="F40" s="990"/>
      <c r="G40" s="1508" t="s">
        <v>339</v>
      </c>
      <c r="H40" s="1509">
        <v>40000</v>
      </c>
      <c r="I40" s="1515" t="s">
        <v>29</v>
      </c>
      <c r="J40" s="1520">
        <v>1</v>
      </c>
      <c r="K40" s="1511"/>
      <c r="L40" s="1515" t="s">
        <v>29</v>
      </c>
      <c r="M40" s="1511"/>
      <c r="N40" s="1513">
        <v>4</v>
      </c>
      <c r="O40" s="1513" t="s">
        <v>36</v>
      </c>
      <c r="P40" s="1363">
        <f t="shared" si="1"/>
        <v>160000</v>
      </c>
    </row>
    <row r="41" spans="1:16" ht="15" customHeight="1">
      <c r="A41" s="818"/>
      <c r="B41" s="829"/>
      <c r="C41" s="829"/>
      <c r="D41" s="830"/>
      <c r="E41" s="830"/>
      <c r="F41" s="990"/>
      <c r="G41" s="1508" t="s">
        <v>340</v>
      </c>
      <c r="H41" s="1509">
        <v>20000</v>
      </c>
      <c r="I41" s="1515" t="s">
        <v>29</v>
      </c>
      <c r="J41" s="1520">
        <v>1</v>
      </c>
      <c r="K41" s="1511"/>
      <c r="L41" s="1515" t="s">
        <v>29</v>
      </c>
      <c r="M41" s="1511"/>
      <c r="N41" s="1513">
        <v>4</v>
      </c>
      <c r="O41" s="1513" t="s">
        <v>36</v>
      </c>
      <c r="P41" s="1363">
        <f t="shared" si="1"/>
        <v>80000</v>
      </c>
    </row>
    <row r="42" spans="1:16" ht="15" customHeight="1">
      <c r="A42" s="818"/>
      <c r="B42" s="829"/>
      <c r="C42" s="829"/>
      <c r="D42" s="830"/>
      <c r="E42" s="830"/>
      <c r="F42" s="990"/>
      <c r="G42" s="1508" t="s">
        <v>321</v>
      </c>
      <c r="H42" s="1509">
        <v>40000</v>
      </c>
      <c r="I42" s="1515" t="s">
        <v>29</v>
      </c>
      <c r="J42" s="1520">
        <v>5</v>
      </c>
      <c r="K42" s="1511"/>
      <c r="L42" s="1515" t="s">
        <v>29</v>
      </c>
      <c r="M42" s="1511"/>
      <c r="N42" s="1513">
        <v>12</v>
      </c>
      <c r="O42" s="1513" t="s">
        <v>36</v>
      </c>
      <c r="P42" s="1363">
        <f t="shared" si="1"/>
        <v>2400000</v>
      </c>
    </row>
    <row r="43" spans="1:16" ht="15" customHeight="1">
      <c r="A43" s="818"/>
      <c r="B43" s="829"/>
      <c r="C43" s="829"/>
      <c r="D43" s="830"/>
      <c r="E43" s="830"/>
      <c r="F43" s="990"/>
      <c r="G43" s="1508" t="s">
        <v>322</v>
      </c>
      <c r="H43" s="1509">
        <v>20000</v>
      </c>
      <c r="I43" s="1515" t="s">
        <v>29</v>
      </c>
      <c r="J43" s="1520">
        <v>4</v>
      </c>
      <c r="K43" s="1511"/>
      <c r="L43" s="1515" t="s">
        <v>29</v>
      </c>
      <c r="M43" s="1511"/>
      <c r="N43" s="1513">
        <v>12</v>
      </c>
      <c r="O43" s="1513" t="s">
        <v>36</v>
      </c>
      <c r="P43" s="1363">
        <f t="shared" si="1"/>
        <v>960000</v>
      </c>
    </row>
    <row r="44" spans="1:16" ht="15" customHeight="1">
      <c r="A44" s="818"/>
      <c r="B44" s="829"/>
      <c r="C44" s="829"/>
      <c r="D44" s="830"/>
      <c r="E44" s="830"/>
      <c r="F44" s="990"/>
      <c r="G44" s="1508" t="s">
        <v>323</v>
      </c>
      <c r="H44" s="1509">
        <v>60000</v>
      </c>
      <c r="I44" s="1515" t="s">
        <v>29</v>
      </c>
      <c r="J44" s="1520">
        <v>2</v>
      </c>
      <c r="K44" s="1511"/>
      <c r="L44" s="1515" t="s">
        <v>29</v>
      </c>
      <c r="M44" s="1522"/>
      <c r="N44" s="1513">
        <v>12</v>
      </c>
      <c r="O44" s="1513" t="s">
        <v>36</v>
      </c>
      <c r="P44" s="1363">
        <f t="shared" si="1"/>
        <v>1440000</v>
      </c>
    </row>
    <row r="45" spans="1:16" ht="15" customHeight="1">
      <c r="A45" s="818"/>
      <c r="B45" s="829"/>
      <c r="C45" s="829"/>
      <c r="D45" s="830"/>
      <c r="E45" s="830"/>
      <c r="F45" s="990"/>
      <c r="G45" s="1508" t="s">
        <v>378</v>
      </c>
      <c r="H45" s="1509">
        <v>20000</v>
      </c>
      <c r="I45" s="1515" t="s">
        <v>29</v>
      </c>
      <c r="J45" s="1520">
        <v>3</v>
      </c>
      <c r="K45" s="1511"/>
      <c r="L45" s="1515" t="s">
        <v>29</v>
      </c>
      <c r="M45" s="1521"/>
      <c r="N45" s="1513">
        <v>12</v>
      </c>
      <c r="O45" s="1513" t="s">
        <v>36</v>
      </c>
      <c r="P45" s="1363">
        <f t="shared" si="1"/>
        <v>720000</v>
      </c>
    </row>
    <row r="46" spans="1:16" ht="15" customHeight="1">
      <c r="A46" s="818"/>
      <c r="B46" s="829"/>
      <c r="C46" s="829"/>
      <c r="D46" s="830"/>
      <c r="E46" s="830"/>
      <c r="F46" s="990"/>
      <c r="G46" s="1508" t="s">
        <v>326</v>
      </c>
      <c r="H46" s="1509">
        <v>20000</v>
      </c>
      <c r="I46" s="1515" t="s">
        <v>29</v>
      </c>
      <c r="J46" s="1520">
        <v>2</v>
      </c>
      <c r="K46" s="1511"/>
      <c r="L46" s="1515" t="s">
        <v>29</v>
      </c>
      <c r="M46" s="1521"/>
      <c r="N46" s="1513">
        <v>1.3</v>
      </c>
      <c r="O46" s="1513" t="s">
        <v>36</v>
      </c>
      <c r="P46" s="1363">
        <f>SUM(H46*J46*N46)-572</f>
        <v>51428</v>
      </c>
    </row>
    <row r="47" spans="1:16" ht="15" customHeight="1">
      <c r="A47" s="818"/>
      <c r="B47" s="829"/>
      <c r="C47" s="829"/>
      <c r="D47" s="830"/>
      <c r="E47" s="830"/>
      <c r="F47" s="990"/>
      <c r="G47" s="1508" t="s">
        <v>324</v>
      </c>
      <c r="H47" s="1509">
        <v>40000</v>
      </c>
      <c r="I47" s="1515" t="s">
        <v>29</v>
      </c>
      <c r="J47" s="1520">
        <v>1</v>
      </c>
      <c r="K47" s="1511"/>
      <c r="L47" s="1515" t="s">
        <v>29</v>
      </c>
      <c r="M47" s="1511"/>
      <c r="N47" s="1513">
        <v>10</v>
      </c>
      <c r="O47" s="1513" t="s">
        <v>36</v>
      </c>
      <c r="P47" s="1363">
        <f>SUM(H47*J47*N47)</f>
        <v>400000</v>
      </c>
    </row>
    <row r="48" spans="1:16" ht="15" customHeight="1">
      <c r="A48" s="818"/>
      <c r="B48" s="829"/>
      <c r="C48" s="829"/>
      <c r="D48" s="830"/>
      <c r="E48" s="830"/>
      <c r="F48" s="990"/>
      <c r="G48" s="836" t="s">
        <v>282</v>
      </c>
      <c r="H48" s="831"/>
      <c r="I48" s="832"/>
      <c r="J48" s="833"/>
      <c r="K48" s="832"/>
      <c r="L48" s="831"/>
      <c r="M48" s="832"/>
      <c r="N48" s="834"/>
      <c r="O48" s="835"/>
      <c r="P48" s="1276">
        <f>SUM(P49:P71)</f>
        <v>45109740</v>
      </c>
    </row>
    <row r="49" spans="1:16" s="1310" customFormat="1" ht="15" customHeight="1">
      <c r="A49" s="818"/>
      <c r="B49" s="829"/>
      <c r="C49" s="829"/>
      <c r="D49" s="830"/>
      <c r="E49" s="830"/>
      <c r="F49" s="990"/>
      <c r="G49" s="1501" t="s">
        <v>328</v>
      </c>
      <c r="H49" s="1502">
        <v>3188200</v>
      </c>
      <c r="I49" s="1515" t="s">
        <v>29</v>
      </c>
      <c r="J49" s="1523">
        <v>0.6</v>
      </c>
      <c r="K49" s="1515" t="s">
        <v>29</v>
      </c>
      <c r="L49" s="1520">
        <v>1</v>
      </c>
      <c r="M49" s="1515" t="s">
        <v>29</v>
      </c>
      <c r="N49" s="1524">
        <v>2</v>
      </c>
      <c r="O49" s="1513" t="s">
        <v>36</v>
      </c>
      <c r="P49" s="1363">
        <f t="shared" ref="P49:P71" si="2">ROUND(SUM(H49*J49*L49*N49),-1)</f>
        <v>3825840</v>
      </c>
    </row>
    <row r="50" spans="1:16" s="1310" customFormat="1" ht="15" customHeight="1">
      <c r="A50" s="818"/>
      <c r="B50" s="829"/>
      <c r="C50" s="829"/>
      <c r="D50" s="830"/>
      <c r="E50" s="830"/>
      <c r="F50" s="990"/>
      <c r="G50" s="1508" t="s">
        <v>329</v>
      </c>
      <c r="H50" s="1509">
        <v>2713000</v>
      </c>
      <c r="I50" s="1515" t="s">
        <v>29</v>
      </c>
      <c r="J50" s="1523">
        <v>0.6</v>
      </c>
      <c r="K50" s="1515" t="s">
        <v>29</v>
      </c>
      <c r="L50" s="1520">
        <v>1</v>
      </c>
      <c r="M50" s="1515" t="s">
        <v>29</v>
      </c>
      <c r="N50" s="1524">
        <v>2</v>
      </c>
      <c r="O50" s="1513" t="s">
        <v>36</v>
      </c>
      <c r="P50" s="1363">
        <f t="shared" si="2"/>
        <v>3255600</v>
      </c>
    </row>
    <row r="51" spans="1:16" s="1310" customFormat="1" ht="15" customHeight="1">
      <c r="A51" s="818"/>
      <c r="B51" s="829"/>
      <c r="C51" s="829"/>
      <c r="D51" s="830"/>
      <c r="E51" s="830"/>
      <c r="F51" s="990"/>
      <c r="G51" s="1508" t="s">
        <v>331</v>
      </c>
      <c r="H51" s="1509">
        <v>2331500</v>
      </c>
      <c r="I51" s="1515" t="s">
        <v>29</v>
      </c>
      <c r="J51" s="1523">
        <v>0.6</v>
      </c>
      <c r="K51" s="1515" t="s">
        <v>29</v>
      </c>
      <c r="L51" s="1520">
        <v>1</v>
      </c>
      <c r="M51" s="1515" t="s">
        <v>29</v>
      </c>
      <c r="N51" s="1524">
        <v>1</v>
      </c>
      <c r="O51" s="1513" t="s">
        <v>36</v>
      </c>
      <c r="P51" s="1363">
        <f t="shared" si="2"/>
        <v>1398900</v>
      </c>
    </row>
    <row r="52" spans="1:16" s="1310" customFormat="1" ht="15" customHeight="1">
      <c r="A52" s="818"/>
      <c r="B52" s="829"/>
      <c r="C52" s="829"/>
      <c r="D52" s="830"/>
      <c r="E52" s="830"/>
      <c r="F52" s="990"/>
      <c r="G52" s="1501" t="s">
        <v>332</v>
      </c>
      <c r="H52" s="1502">
        <v>2421500</v>
      </c>
      <c r="I52" s="1515" t="s">
        <v>29</v>
      </c>
      <c r="J52" s="1523">
        <v>0.6</v>
      </c>
      <c r="K52" s="1515" t="s">
        <v>29</v>
      </c>
      <c r="L52" s="1520">
        <v>1</v>
      </c>
      <c r="M52" s="1515" t="s">
        <v>29</v>
      </c>
      <c r="N52" s="1524">
        <v>1</v>
      </c>
      <c r="O52" s="1513" t="s">
        <v>36</v>
      </c>
      <c r="P52" s="1363">
        <f t="shared" si="2"/>
        <v>1452900</v>
      </c>
    </row>
    <row r="53" spans="1:16" s="1310" customFormat="1" ht="15" customHeight="1">
      <c r="A53" s="818"/>
      <c r="B53" s="829"/>
      <c r="C53" s="829"/>
      <c r="D53" s="830"/>
      <c r="E53" s="830"/>
      <c r="F53" s="990"/>
      <c r="G53" s="1501" t="s">
        <v>333</v>
      </c>
      <c r="H53" s="1502">
        <v>2331500</v>
      </c>
      <c r="I53" s="1515" t="s">
        <v>29</v>
      </c>
      <c r="J53" s="1523">
        <v>0.6</v>
      </c>
      <c r="K53" s="1515" t="s">
        <v>29</v>
      </c>
      <c r="L53" s="1520">
        <v>1</v>
      </c>
      <c r="M53" s="1515" t="s">
        <v>29</v>
      </c>
      <c r="N53" s="1524">
        <v>1</v>
      </c>
      <c r="O53" s="1513" t="s">
        <v>36</v>
      </c>
      <c r="P53" s="1363">
        <f t="shared" si="2"/>
        <v>1398900</v>
      </c>
    </row>
    <row r="54" spans="1:16" s="1310" customFormat="1" ht="15" customHeight="1">
      <c r="A54" s="818"/>
      <c r="B54" s="829"/>
      <c r="C54" s="829"/>
      <c r="D54" s="830"/>
      <c r="E54" s="830"/>
      <c r="F54" s="990"/>
      <c r="G54" s="1390" t="s">
        <v>334</v>
      </c>
      <c r="H54" s="1502">
        <v>2421500</v>
      </c>
      <c r="I54" s="1515" t="s">
        <v>29</v>
      </c>
      <c r="J54" s="1523">
        <v>0.6</v>
      </c>
      <c r="K54" s="1515" t="s">
        <v>29</v>
      </c>
      <c r="L54" s="1520">
        <v>1</v>
      </c>
      <c r="M54" s="1515" t="s">
        <v>29</v>
      </c>
      <c r="N54" s="1524">
        <v>1</v>
      </c>
      <c r="O54" s="1513" t="s">
        <v>36</v>
      </c>
      <c r="P54" s="1363">
        <f t="shared" si="2"/>
        <v>1452900</v>
      </c>
    </row>
    <row r="55" spans="1:16" s="1310" customFormat="1" ht="15" customHeight="1">
      <c r="A55" s="818"/>
      <c r="B55" s="829"/>
      <c r="C55" s="829"/>
      <c r="D55" s="830"/>
      <c r="E55" s="830"/>
      <c r="F55" s="990"/>
      <c r="G55" s="1390" t="s">
        <v>335</v>
      </c>
      <c r="H55" s="1502">
        <v>2065600</v>
      </c>
      <c r="I55" s="1515" t="s">
        <v>29</v>
      </c>
      <c r="J55" s="1523">
        <v>0.6</v>
      </c>
      <c r="K55" s="1515" t="s">
        <v>29</v>
      </c>
      <c r="L55" s="1520">
        <v>1</v>
      </c>
      <c r="M55" s="1515" t="s">
        <v>29</v>
      </c>
      <c r="N55" s="1524">
        <v>1</v>
      </c>
      <c r="O55" s="1513" t="s">
        <v>36</v>
      </c>
      <c r="P55" s="1363">
        <f t="shared" si="2"/>
        <v>1239360</v>
      </c>
    </row>
    <row r="56" spans="1:16" s="1310" customFormat="1" ht="15" customHeight="1">
      <c r="A56" s="818"/>
      <c r="B56" s="837"/>
      <c r="C56" s="1590"/>
      <c r="D56" s="830"/>
      <c r="E56" s="830"/>
      <c r="F56" s="1008"/>
      <c r="G56" s="1390" t="s">
        <v>336</v>
      </c>
      <c r="H56" s="1502">
        <v>2265800</v>
      </c>
      <c r="I56" s="1515" t="s">
        <v>29</v>
      </c>
      <c r="J56" s="1523">
        <v>0.6</v>
      </c>
      <c r="K56" s="1515" t="s">
        <v>29</v>
      </c>
      <c r="L56" s="1520">
        <v>1</v>
      </c>
      <c r="M56" s="1515" t="s">
        <v>29</v>
      </c>
      <c r="N56" s="1524">
        <v>1</v>
      </c>
      <c r="O56" s="1513" t="s">
        <v>36</v>
      </c>
      <c r="P56" s="1363">
        <f t="shared" si="2"/>
        <v>1359480</v>
      </c>
    </row>
    <row r="57" spans="1:16" s="1310" customFormat="1" ht="15" customHeight="1">
      <c r="A57" s="818"/>
      <c r="B57" s="1590"/>
      <c r="C57" s="1590"/>
      <c r="D57" s="838"/>
      <c r="E57" s="838"/>
      <c r="F57" s="1008"/>
      <c r="G57" s="1508" t="s">
        <v>305</v>
      </c>
      <c r="H57" s="1509">
        <v>4812600</v>
      </c>
      <c r="I57" s="1515" t="s">
        <v>29</v>
      </c>
      <c r="J57" s="1523">
        <v>0.6</v>
      </c>
      <c r="K57" s="1515" t="s">
        <v>29</v>
      </c>
      <c r="L57" s="1520">
        <v>1</v>
      </c>
      <c r="M57" s="1515" t="s">
        <v>29</v>
      </c>
      <c r="N57" s="1524">
        <v>1</v>
      </c>
      <c r="O57" s="1513" t="s">
        <v>36</v>
      </c>
      <c r="P57" s="1363">
        <f t="shared" si="2"/>
        <v>2887560</v>
      </c>
    </row>
    <row r="58" spans="1:16" s="1310" customFormat="1" ht="15" customHeight="1">
      <c r="A58" s="818"/>
      <c r="B58" s="1590"/>
      <c r="C58" s="1590"/>
      <c r="D58" s="838"/>
      <c r="E58" s="838"/>
      <c r="F58" s="1008"/>
      <c r="G58" s="1508" t="s">
        <v>305</v>
      </c>
      <c r="H58" s="1509">
        <v>4863800</v>
      </c>
      <c r="I58" s="1515" t="s">
        <v>29</v>
      </c>
      <c r="J58" s="1523">
        <v>0.6</v>
      </c>
      <c r="K58" s="1515" t="s">
        <v>29</v>
      </c>
      <c r="L58" s="1520">
        <v>1</v>
      </c>
      <c r="M58" s="1515" t="s">
        <v>29</v>
      </c>
      <c r="N58" s="1524">
        <v>1</v>
      </c>
      <c r="O58" s="1513" t="s">
        <v>36</v>
      </c>
      <c r="P58" s="1363">
        <f t="shared" si="2"/>
        <v>2918280</v>
      </c>
    </row>
    <row r="59" spans="1:16" s="1310" customFormat="1" ht="15" customHeight="1">
      <c r="A59" s="818"/>
      <c r="B59" s="1590"/>
      <c r="C59" s="1590"/>
      <c r="D59" s="838"/>
      <c r="E59" s="838"/>
      <c r="F59" s="1008"/>
      <c r="G59" s="1508" t="s">
        <v>306</v>
      </c>
      <c r="H59" s="1509">
        <v>3663800</v>
      </c>
      <c r="I59" s="1515" t="s">
        <v>29</v>
      </c>
      <c r="J59" s="1523">
        <v>0.6</v>
      </c>
      <c r="K59" s="1515" t="s">
        <v>29</v>
      </c>
      <c r="L59" s="1520">
        <v>1</v>
      </c>
      <c r="M59" s="1515" t="s">
        <v>29</v>
      </c>
      <c r="N59" s="1524">
        <v>1</v>
      </c>
      <c r="O59" s="1513" t="s">
        <v>36</v>
      </c>
      <c r="P59" s="1363">
        <f t="shared" si="2"/>
        <v>2198280</v>
      </c>
    </row>
    <row r="60" spans="1:16" s="1310" customFormat="1" ht="15" customHeight="1">
      <c r="A60" s="818"/>
      <c r="B60" s="1590"/>
      <c r="C60" s="1590"/>
      <c r="D60" s="838"/>
      <c r="E60" s="838"/>
      <c r="F60" s="1008"/>
      <c r="G60" s="1508" t="s">
        <v>307</v>
      </c>
      <c r="H60" s="1509">
        <v>3730900</v>
      </c>
      <c r="I60" s="1515" t="s">
        <v>29</v>
      </c>
      <c r="J60" s="1523">
        <v>0.6</v>
      </c>
      <c r="K60" s="1515" t="s">
        <v>29</v>
      </c>
      <c r="L60" s="1520">
        <v>1</v>
      </c>
      <c r="M60" s="1515" t="s">
        <v>29</v>
      </c>
      <c r="N60" s="1524">
        <v>1</v>
      </c>
      <c r="O60" s="1513" t="s">
        <v>36</v>
      </c>
      <c r="P60" s="1363">
        <f t="shared" si="2"/>
        <v>2238540</v>
      </c>
    </row>
    <row r="61" spans="1:16" s="1310" customFormat="1" ht="15" customHeight="1">
      <c r="A61" s="818"/>
      <c r="B61" s="1590"/>
      <c r="C61" s="1590"/>
      <c r="D61" s="838"/>
      <c r="E61" s="838"/>
      <c r="F61" s="1008"/>
      <c r="G61" s="1508" t="s">
        <v>308</v>
      </c>
      <c r="H61" s="1509">
        <v>3522100</v>
      </c>
      <c r="I61" s="1515" t="s">
        <v>29</v>
      </c>
      <c r="J61" s="1523">
        <v>0.6</v>
      </c>
      <c r="K61" s="1515" t="s">
        <v>29</v>
      </c>
      <c r="L61" s="1520">
        <v>1</v>
      </c>
      <c r="M61" s="1515" t="s">
        <v>29</v>
      </c>
      <c r="N61" s="1524">
        <v>1</v>
      </c>
      <c r="O61" s="1513" t="s">
        <v>36</v>
      </c>
      <c r="P61" s="1363">
        <f t="shared" si="2"/>
        <v>2113260</v>
      </c>
    </row>
    <row r="62" spans="1:16" s="1310" customFormat="1" ht="15" customHeight="1">
      <c r="A62" s="818"/>
      <c r="B62" s="1590"/>
      <c r="C62" s="1590"/>
      <c r="D62" s="838"/>
      <c r="E62" s="838"/>
      <c r="F62" s="1008"/>
      <c r="G62" s="1508" t="s">
        <v>309</v>
      </c>
      <c r="H62" s="1509">
        <v>3594600</v>
      </c>
      <c r="I62" s="1515" t="s">
        <v>29</v>
      </c>
      <c r="J62" s="1523">
        <v>0.6</v>
      </c>
      <c r="K62" s="1515" t="s">
        <v>29</v>
      </c>
      <c r="L62" s="1520">
        <v>1</v>
      </c>
      <c r="M62" s="1515" t="s">
        <v>29</v>
      </c>
      <c r="N62" s="1524">
        <v>1</v>
      </c>
      <c r="O62" s="1513" t="s">
        <v>36</v>
      </c>
      <c r="P62" s="1363">
        <f t="shared" si="2"/>
        <v>2156760</v>
      </c>
    </row>
    <row r="63" spans="1:16" s="1310" customFormat="1" ht="15" customHeight="1">
      <c r="A63" s="818"/>
      <c r="B63" s="1590"/>
      <c r="C63" s="1590"/>
      <c r="D63" s="838"/>
      <c r="E63" s="838"/>
      <c r="F63" s="1008"/>
      <c r="G63" s="1501" t="s">
        <v>310</v>
      </c>
      <c r="H63" s="1502">
        <v>2808100</v>
      </c>
      <c r="I63" s="1515" t="s">
        <v>29</v>
      </c>
      <c r="J63" s="1523">
        <v>0.6</v>
      </c>
      <c r="K63" s="1515" t="s">
        <v>29</v>
      </c>
      <c r="L63" s="1520">
        <v>1</v>
      </c>
      <c r="M63" s="1515" t="s">
        <v>29</v>
      </c>
      <c r="N63" s="1524">
        <v>2</v>
      </c>
      <c r="O63" s="1513" t="s">
        <v>36</v>
      </c>
      <c r="P63" s="1363">
        <f t="shared" si="2"/>
        <v>3369720</v>
      </c>
    </row>
    <row r="64" spans="1:16" s="1310" customFormat="1" ht="15" customHeight="1">
      <c r="A64" s="818"/>
      <c r="B64" s="1590"/>
      <c r="C64" s="1590"/>
      <c r="D64" s="838"/>
      <c r="E64" s="838"/>
      <c r="F64" s="1008"/>
      <c r="G64" s="1501" t="s">
        <v>312</v>
      </c>
      <c r="H64" s="1502">
        <v>2610800</v>
      </c>
      <c r="I64" s="1515" t="s">
        <v>29</v>
      </c>
      <c r="J64" s="1523">
        <v>0.6</v>
      </c>
      <c r="K64" s="1515" t="s">
        <v>29</v>
      </c>
      <c r="L64" s="1520">
        <v>1</v>
      </c>
      <c r="M64" s="1515" t="s">
        <v>29</v>
      </c>
      <c r="N64" s="1524">
        <v>1</v>
      </c>
      <c r="O64" s="1513" t="s">
        <v>36</v>
      </c>
      <c r="P64" s="1363">
        <f t="shared" si="2"/>
        <v>1566480</v>
      </c>
    </row>
    <row r="65" spans="1:16" s="1310" customFormat="1" ht="15" customHeight="1">
      <c r="A65" s="818"/>
      <c r="B65" s="1590"/>
      <c r="C65" s="1590"/>
      <c r="D65" s="838"/>
      <c r="E65" s="838"/>
      <c r="F65" s="1008"/>
      <c r="G65" s="1501" t="s">
        <v>313</v>
      </c>
      <c r="H65" s="1502">
        <v>2713000</v>
      </c>
      <c r="I65" s="1515" t="s">
        <v>29</v>
      </c>
      <c r="J65" s="1523">
        <v>0.6</v>
      </c>
      <c r="K65" s="1515" t="s">
        <v>29</v>
      </c>
      <c r="L65" s="1520">
        <v>1</v>
      </c>
      <c r="M65" s="1515" t="s">
        <v>29</v>
      </c>
      <c r="N65" s="1524">
        <v>1</v>
      </c>
      <c r="O65" s="1513" t="s">
        <v>36</v>
      </c>
      <c r="P65" s="1363">
        <f t="shared" si="2"/>
        <v>1627800</v>
      </c>
    </row>
    <row r="66" spans="1:16" s="1310" customFormat="1" ht="15" customHeight="1">
      <c r="A66" s="818"/>
      <c r="B66" s="1590"/>
      <c r="C66" s="1590"/>
      <c r="D66" s="838"/>
      <c r="E66" s="838"/>
      <c r="F66" s="1008"/>
      <c r="G66" s="1501" t="s">
        <v>314</v>
      </c>
      <c r="H66" s="1502">
        <v>2610800</v>
      </c>
      <c r="I66" s="1515" t="s">
        <v>29</v>
      </c>
      <c r="J66" s="1523">
        <v>0.6</v>
      </c>
      <c r="K66" s="1515" t="s">
        <v>29</v>
      </c>
      <c r="L66" s="1520">
        <v>1</v>
      </c>
      <c r="M66" s="1515" t="s">
        <v>29</v>
      </c>
      <c r="N66" s="1524">
        <v>1</v>
      </c>
      <c r="O66" s="1513" t="s">
        <v>36</v>
      </c>
      <c r="P66" s="1363">
        <f t="shared" si="2"/>
        <v>1566480</v>
      </c>
    </row>
    <row r="67" spans="1:16" s="1310" customFormat="1" ht="15" customHeight="1">
      <c r="A67" s="818"/>
      <c r="B67" s="1590"/>
      <c r="C67" s="1590"/>
      <c r="D67" s="838"/>
      <c r="E67" s="838"/>
      <c r="F67" s="1008"/>
      <c r="G67" s="1501" t="s">
        <v>315</v>
      </c>
      <c r="H67" s="1502">
        <v>2713000</v>
      </c>
      <c r="I67" s="1515" t="s">
        <v>29</v>
      </c>
      <c r="J67" s="1523">
        <v>0.6</v>
      </c>
      <c r="K67" s="1515" t="s">
        <v>29</v>
      </c>
      <c r="L67" s="1520">
        <v>1</v>
      </c>
      <c r="M67" s="1515" t="s">
        <v>29</v>
      </c>
      <c r="N67" s="1524">
        <v>1</v>
      </c>
      <c r="O67" s="1513" t="s">
        <v>36</v>
      </c>
      <c r="P67" s="1363">
        <f t="shared" si="2"/>
        <v>1627800</v>
      </c>
    </row>
    <row r="68" spans="1:16" s="1310" customFormat="1" ht="15" customHeight="1">
      <c r="A68" s="818"/>
      <c r="B68" s="1590"/>
      <c r="C68" s="1590"/>
      <c r="D68" s="838"/>
      <c r="E68" s="838"/>
      <c r="F68" s="1008"/>
      <c r="G68" s="1501" t="s">
        <v>316</v>
      </c>
      <c r="H68" s="1502">
        <v>2065600</v>
      </c>
      <c r="I68" s="1515" t="s">
        <v>29</v>
      </c>
      <c r="J68" s="1523">
        <v>0.6</v>
      </c>
      <c r="K68" s="1515" t="s">
        <v>29</v>
      </c>
      <c r="L68" s="1520">
        <v>1</v>
      </c>
      <c r="M68" s="1515" t="s">
        <v>29</v>
      </c>
      <c r="N68" s="1524">
        <v>1</v>
      </c>
      <c r="O68" s="1513" t="s">
        <v>36</v>
      </c>
      <c r="P68" s="1363">
        <f t="shared" si="2"/>
        <v>1239360</v>
      </c>
    </row>
    <row r="69" spans="1:16" s="1310" customFormat="1" ht="15" customHeight="1">
      <c r="A69" s="818"/>
      <c r="B69" s="1590"/>
      <c r="C69" s="1590"/>
      <c r="D69" s="838"/>
      <c r="E69" s="838"/>
      <c r="F69" s="1008"/>
      <c r="G69" s="1501" t="s">
        <v>317</v>
      </c>
      <c r="H69" s="1502">
        <v>2265800</v>
      </c>
      <c r="I69" s="1515" t="s">
        <v>29</v>
      </c>
      <c r="J69" s="1523">
        <v>0.6</v>
      </c>
      <c r="K69" s="1515" t="s">
        <v>29</v>
      </c>
      <c r="L69" s="1520">
        <v>1</v>
      </c>
      <c r="M69" s="1515" t="s">
        <v>29</v>
      </c>
      <c r="N69" s="1524">
        <v>1</v>
      </c>
      <c r="O69" s="1513" t="s">
        <v>36</v>
      </c>
      <c r="P69" s="1363">
        <f t="shared" si="2"/>
        <v>1359480</v>
      </c>
    </row>
    <row r="70" spans="1:16" s="1310" customFormat="1" ht="15" customHeight="1">
      <c r="A70" s="818"/>
      <c r="B70" s="1590"/>
      <c r="C70" s="1590"/>
      <c r="D70" s="838"/>
      <c r="E70" s="838"/>
      <c r="F70" s="1008"/>
      <c r="G70" s="1501" t="s">
        <v>318</v>
      </c>
      <c r="H70" s="1502">
        <v>2739500</v>
      </c>
      <c r="I70" s="1515" t="s">
        <v>29</v>
      </c>
      <c r="J70" s="1523">
        <v>0.6</v>
      </c>
      <c r="K70" s="1515" t="s">
        <v>29</v>
      </c>
      <c r="L70" s="1520">
        <v>1</v>
      </c>
      <c r="M70" s="1515" t="s">
        <v>29</v>
      </c>
      <c r="N70" s="1524">
        <v>1</v>
      </c>
      <c r="O70" s="1513" t="s">
        <v>36</v>
      </c>
      <c r="P70" s="1363">
        <f t="shared" si="2"/>
        <v>1643700</v>
      </c>
    </row>
    <row r="71" spans="1:16" s="1310" customFormat="1" ht="15" customHeight="1">
      <c r="A71" s="818"/>
      <c r="B71" s="1590"/>
      <c r="C71" s="1590"/>
      <c r="D71" s="838"/>
      <c r="E71" s="838"/>
      <c r="F71" s="1008"/>
      <c r="G71" s="1501" t="s">
        <v>319</v>
      </c>
      <c r="H71" s="1502">
        <v>2020600</v>
      </c>
      <c r="I71" s="1515" t="s">
        <v>29</v>
      </c>
      <c r="J71" s="1523">
        <v>0.6</v>
      </c>
      <c r="K71" s="1515" t="s">
        <v>29</v>
      </c>
      <c r="L71" s="1520">
        <v>1</v>
      </c>
      <c r="M71" s="1515" t="s">
        <v>29</v>
      </c>
      <c r="N71" s="1524">
        <v>1</v>
      </c>
      <c r="O71" s="1513" t="s">
        <v>36</v>
      </c>
      <c r="P71" s="1363">
        <f t="shared" si="2"/>
        <v>1212360</v>
      </c>
    </row>
    <row r="72" spans="1:16" s="1310" customFormat="1" ht="15" customHeight="1">
      <c r="A72" s="818"/>
      <c r="B72" s="1590"/>
      <c r="C72" s="1590"/>
      <c r="D72" s="838"/>
      <c r="E72" s="838"/>
      <c r="F72" s="1008"/>
      <c r="G72" s="836" t="s">
        <v>58</v>
      </c>
      <c r="H72" s="831"/>
      <c r="I72" s="832"/>
      <c r="J72" s="833"/>
      <c r="K72" s="832"/>
      <c r="L72" s="831"/>
      <c r="M72" s="832"/>
      <c r="N72" s="834"/>
      <c r="O72" s="835"/>
      <c r="P72" s="1276">
        <f>SUM(P73:P93)</f>
        <v>37496020</v>
      </c>
    </row>
    <row r="73" spans="1:16" s="1310" customFormat="1" ht="15" customHeight="1">
      <c r="A73" s="839"/>
      <c r="B73" s="837"/>
      <c r="C73" s="819"/>
      <c r="D73" s="838"/>
      <c r="E73" s="838"/>
      <c r="F73" s="1008"/>
      <c r="G73" s="1501" t="s">
        <v>328</v>
      </c>
      <c r="H73" s="1509">
        <v>343220</v>
      </c>
      <c r="I73" s="1503"/>
      <c r="J73" s="1523"/>
      <c r="K73" s="1511"/>
      <c r="L73" s="1503"/>
      <c r="M73" s="1503" t="s">
        <v>29</v>
      </c>
      <c r="N73" s="1513">
        <v>12</v>
      </c>
      <c r="O73" s="1513" t="s">
        <v>36</v>
      </c>
      <c r="P73" s="1393">
        <v>4118640</v>
      </c>
    </row>
    <row r="74" spans="1:16" s="1310" customFormat="1" ht="15" customHeight="1">
      <c r="A74" s="839"/>
      <c r="B74" s="837"/>
      <c r="C74" s="819"/>
      <c r="D74" s="830"/>
      <c r="E74" s="830"/>
      <c r="F74" s="1008"/>
      <c r="G74" s="1508" t="s">
        <v>329</v>
      </c>
      <c r="H74" s="1509">
        <v>292060</v>
      </c>
      <c r="I74" s="1503"/>
      <c r="J74" s="1523"/>
      <c r="K74" s="1511"/>
      <c r="L74" s="1503"/>
      <c r="M74" s="1503" t="s">
        <v>29</v>
      </c>
      <c r="N74" s="1513">
        <v>10</v>
      </c>
      <c r="O74" s="1513" t="s">
        <v>36</v>
      </c>
      <c r="P74" s="1394">
        <v>2920600</v>
      </c>
    </row>
    <row r="75" spans="1:16" s="1310" customFormat="1" ht="15" customHeight="1">
      <c r="A75" s="839"/>
      <c r="B75" s="837"/>
      <c r="C75" s="819"/>
      <c r="D75" s="830"/>
      <c r="E75" s="830"/>
      <c r="F75" s="991"/>
      <c r="G75" s="1508" t="s">
        <v>330</v>
      </c>
      <c r="H75" s="1509">
        <v>302300</v>
      </c>
      <c r="I75" s="1503"/>
      <c r="J75" s="1523"/>
      <c r="K75" s="1511"/>
      <c r="L75" s="1512"/>
      <c r="M75" s="1503" t="s">
        <v>29</v>
      </c>
      <c r="N75" s="1513">
        <v>2</v>
      </c>
      <c r="O75" s="1513" t="s">
        <v>36</v>
      </c>
      <c r="P75" s="1394">
        <v>604600</v>
      </c>
    </row>
    <row r="76" spans="1:16" s="1310" customFormat="1" ht="15" customHeight="1">
      <c r="A76" s="839"/>
      <c r="B76" s="837"/>
      <c r="C76" s="819"/>
      <c r="D76" s="830"/>
      <c r="E76" s="830"/>
      <c r="F76" s="991"/>
      <c r="G76" s="1508" t="s">
        <v>331</v>
      </c>
      <c r="H76" s="1502">
        <v>250990</v>
      </c>
      <c r="I76" s="1503"/>
      <c r="J76" s="1525"/>
      <c r="K76" s="1505"/>
      <c r="L76" s="1506"/>
      <c r="M76" s="1503" t="s">
        <v>29</v>
      </c>
      <c r="N76" s="1507">
        <v>2</v>
      </c>
      <c r="O76" s="1507" t="s">
        <v>36</v>
      </c>
      <c r="P76" s="1393">
        <v>501980</v>
      </c>
    </row>
    <row r="77" spans="1:16" s="1310" customFormat="1" ht="15" customHeight="1">
      <c r="A77" s="839"/>
      <c r="B77" s="840"/>
      <c r="C77" s="829"/>
      <c r="D77" s="830"/>
      <c r="E77" s="830"/>
      <c r="F77" s="991"/>
      <c r="G77" s="1501" t="s">
        <v>332</v>
      </c>
      <c r="H77" s="1502">
        <v>260680</v>
      </c>
      <c r="I77" s="1503"/>
      <c r="J77" s="1525"/>
      <c r="K77" s="1505"/>
      <c r="L77" s="1506"/>
      <c r="M77" s="1503" t="s">
        <v>29</v>
      </c>
      <c r="N77" s="1507">
        <v>10</v>
      </c>
      <c r="O77" s="1507" t="s">
        <v>36</v>
      </c>
      <c r="P77" s="1393">
        <v>2606800</v>
      </c>
    </row>
    <row r="78" spans="1:16" s="1310" customFormat="1" ht="15" customHeight="1">
      <c r="A78" s="839"/>
      <c r="B78" s="840"/>
      <c r="C78" s="829"/>
      <c r="D78" s="830"/>
      <c r="E78" s="830"/>
      <c r="F78" s="990"/>
      <c r="G78" s="1501" t="s">
        <v>333</v>
      </c>
      <c r="H78" s="1502">
        <v>250990</v>
      </c>
      <c r="I78" s="1503"/>
      <c r="J78" s="1525"/>
      <c r="K78" s="1505"/>
      <c r="L78" s="1506"/>
      <c r="M78" s="1503" t="s">
        <v>29</v>
      </c>
      <c r="N78" s="1507">
        <v>3</v>
      </c>
      <c r="O78" s="1507" t="s">
        <v>36</v>
      </c>
      <c r="P78" s="1393">
        <v>752970</v>
      </c>
    </row>
    <row r="79" spans="1:16" s="1310" customFormat="1" ht="15" customHeight="1">
      <c r="A79" s="839"/>
      <c r="B79" s="840"/>
      <c r="C79" s="829"/>
      <c r="D79" s="830"/>
      <c r="E79" s="830"/>
      <c r="F79" s="991"/>
      <c r="G79" s="1390" t="s">
        <v>334</v>
      </c>
      <c r="H79" s="1509">
        <v>260680</v>
      </c>
      <c r="I79" s="1503"/>
      <c r="J79" s="1523"/>
      <c r="K79" s="1511"/>
      <c r="L79" s="1512"/>
      <c r="M79" s="1503" t="s">
        <v>29</v>
      </c>
      <c r="N79" s="1507">
        <v>9</v>
      </c>
      <c r="O79" s="1513" t="s">
        <v>36</v>
      </c>
      <c r="P79" s="1394">
        <v>2346120</v>
      </c>
    </row>
    <row r="80" spans="1:16" s="1310" customFormat="1" ht="15" customHeight="1">
      <c r="A80" s="839"/>
      <c r="B80" s="840"/>
      <c r="C80" s="829"/>
      <c r="D80" s="830"/>
      <c r="E80" s="830"/>
      <c r="F80" s="991"/>
      <c r="G80" s="1390" t="s">
        <v>335</v>
      </c>
      <c r="H80" s="1509">
        <v>222370</v>
      </c>
      <c r="I80" s="1503"/>
      <c r="J80" s="1523"/>
      <c r="K80" s="1511"/>
      <c r="L80" s="1503"/>
      <c r="M80" s="1503" t="s">
        <v>29</v>
      </c>
      <c r="N80" s="1507">
        <v>2</v>
      </c>
      <c r="O80" s="1513" t="s">
        <v>36</v>
      </c>
      <c r="P80" s="1394">
        <v>444740</v>
      </c>
    </row>
    <row r="81" spans="1:17" ht="15" customHeight="1">
      <c r="A81" s="839"/>
      <c r="B81" s="840"/>
      <c r="C81" s="829"/>
      <c r="D81" s="830"/>
      <c r="E81" s="830"/>
      <c r="F81" s="991"/>
      <c r="G81" s="1390" t="s">
        <v>336</v>
      </c>
      <c r="H81" s="1509">
        <v>243920</v>
      </c>
      <c r="I81" s="1503"/>
      <c r="J81" s="1525"/>
      <c r="K81" s="1505"/>
      <c r="L81" s="1514"/>
      <c r="M81" s="1503" t="s">
        <v>29</v>
      </c>
      <c r="N81" s="1507">
        <v>10</v>
      </c>
      <c r="O81" s="1507" t="s">
        <v>36</v>
      </c>
      <c r="P81" s="1394">
        <v>2439200</v>
      </c>
    </row>
    <row r="82" spans="1:17" ht="15" customHeight="1">
      <c r="A82" s="839"/>
      <c r="B82" s="840"/>
      <c r="C82" s="829"/>
      <c r="D82" s="830"/>
      <c r="E82" s="830"/>
      <c r="F82" s="991"/>
      <c r="G82" s="1508" t="s">
        <v>306</v>
      </c>
      <c r="H82" s="1509">
        <v>394420</v>
      </c>
      <c r="I82" s="1515"/>
      <c r="J82" s="1523"/>
      <c r="K82" s="1511"/>
      <c r="L82" s="1515"/>
      <c r="M82" s="1515" t="s">
        <v>29</v>
      </c>
      <c r="N82" s="1513">
        <v>7</v>
      </c>
      <c r="O82" s="1507" t="s">
        <v>36</v>
      </c>
      <c r="P82" s="1378">
        <f t="shared" ref="P82:P93" si="3">H82*N82</f>
        <v>2760940</v>
      </c>
    </row>
    <row r="83" spans="1:17" ht="15" customHeight="1">
      <c r="A83" s="839"/>
      <c r="B83" s="840"/>
      <c r="C83" s="829"/>
      <c r="D83" s="830"/>
      <c r="E83" s="830"/>
      <c r="F83" s="991"/>
      <c r="G83" s="1508" t="s">
        <v>307</v>
      </c>
      <c r="H83" s="1509">
        <v>401650</v>
      </c>
      <c r="I83" s="1515"/>
      <c r="J83" s="1523"/>
      <c r="K83" s="1511"/>
      <c r="L83" s="1515"/>
      <c r="M83" s="1515" t="s">
        <v>29</v>
      </c>
      <c r="N83" s="1513">
        <v>5</v>
      </c>
      <c r="O83" s="1507" t="s">
        <v>36</v>
      </c>
      <c r="P83" s="1378">
        <f t="shared" si="3"/>
        <v>2008250</v>
      </c>
    </row>
    <row r="84" spans="1:17" ht="15" customHeight="1">
      <c r="A84" s="839"/>
      <c r="B84" s="840"/>
      <c r="C84" s="829"/>
      <c r="D84" s="830"/>
      <c r="E84" s="830"/>
      <c r="F84" s="991"/>
      <c r="G84" s="1501" t="s">
        <v>310</v>
      </c>
      <c r="H84" s="1509">
        <v>302300</v>
      </c>
      <c r="I84" s="1515"/>
      <c r="J84" s="1523"/>
      <c r="K84" s="1511"/>
      <c r="L84" s="1516"/>
      <c r="M84" s="1515" t="s">
        <v>29</v>
      </c>
      <c r="N84" s="1513">
        <v>10</v>
      </c>
      <c r="O84" s="1513" t="s">
        <v>36</v>
      </c>
      <c r="P84" s="1378">
        <f t="shared" si="3"/>
        <v>3023000</v>
      </c>
    </row>
    <row r="85" spans="1:17" ht="15" customHeight="1">
      <c r="A85" s="839"/>
      <c r="B85" s="840"/>
      <c r="C85" s="829"/>
      <c r="D85" s="830"/>
      <c r="E85" s="830"/>
      <c r="F85" s="991"/>
      <c r="G85" s="1501" t="s">
        <v>311</v>
      </c>
      <c r="H85" s="1502">
        <v>312570</v>
      </c>
      <c r="I85" s="1515"/>
      <c r="J85" s="1523"/>
      <c r="K85" s="1511"/>
      <c r="L85" s="1516"/>
      <c r="M85" s="1515" t="s">
        <v>29</v>
      </c>
      <c r="N85" s="1507">
        <v>2</v>
      </c>
      <c r="O85" s="1513" t="s">
        <v>36</v>
      </c>
      <c r="P85" s="1378">
        <f t="shared" si="3"/>
        <v>625140</v>
      </c>
      <c r="Q85" s="582"/>
    </row>
    <row r="86" spans="1:17" ht="15" customHeight="1">
      <c r="A86" s="839"/>
      <c r="B86" s="840"/>
      <c r="C86" s="829"/>
      <c r="D86" s="830"/>
      <c r="E86" s="830"/>
      <c r="F86" s="991"/>
      <c r="G86" s="1501" t="s">
        <v>312</v>
      </c>
      <c r="H86" s="1502">
        <v>281060</v>
      </c>
      <c r="I86" s="1515"/>
      <c r="J86" s="1523"/>
      <c r="K86" s="1511"/>
      <c r="L86" s="1515"/>
      <c r="M86" s="1515" t="s">
        <v>29</v>
      </c>
      <c r="N86" s="1507">
        <v>3</v>
      </c>
      <c r="O86" s="1513" t="s">
        <v>36</v>
      </c>
      <c r="P86" s="1378">
        <f t="shared" si="3"/>
        <v>843180</v>
      </c>
    </row>
    <row r="87" spans="1:17" ht="15" customHeight="1">
      <c r="A87" s="839"/>
      <c r="B87" s="840"/>
      <c r="C87" s="829"/>
      <c r="D87" s="830"/>
      <c r="E87" s="830"/>
      <c r="F87" s="991"/>
      <c r="G87" s="1501" t="s">
        <v>313</v>
      </c>
      <c r="H87" s="1502">
        <v>292060</v>
      </c>
      <c r="I87" s="1515"/>
      <c r="J87" s="1525"/>
      <c r="K87" s="1505"/>
      <c r="L87" s="1519"/>
      <c r="M87" s="1515" t="s">
        <v>29</v>
      </c>
      <c r="N87" s="1507">
        <v>9</v>
      </c>
      <c r="O87" s="1507" t="s">
        <v>36</v>
      </c>
      <c r="P87" s="1378">
        <f t="shared" si="3"/>
        <v>2628540</v>
      </c>
    </row>
    <row r="88" spans="1:17" ht="15" customHeight="1">
      <c r="A88" s="839"/>
      <c r="B88" s="840"/>
      <c r="C88" s="829"/>
      <c r="D88" s="830"/>
      <c r="E88" s="830"/>
      <c r="F88" s="991"/>
      <c r="G88" s="1501" t="s">
        <v>314</v>
      </c>
      <c r="H88" s="1502">
        <v>281060</v>
      </c>
      <c r="I88" s="1515"/>
      <c r="J88" s="1525"/>
      <c r="K88" s="1505"/>
      <c r="L88" s="1517"/>
      <c r="M88" s="1515" t="s">
        <v>29</v>
      </c>
      <c r="N88" s="1507">
        <v>5</v>
      </c>
      <c r="O88" s="1507" t="s">
        <v>36</v>
      </c>
      <c r="P88" s="1378">
        <f t="shared" si="3"/>
        <v>1405300</v>
      </c>
    </row>
    <row r="89" spans="1:17" ht="15" customHeight="1">
      <c r="A89" s="839"/>
      <c r="B89" s="840"/>
      <c r="C89" s="829"/>
      <c r="D89" s="830"/>
      <c r="E89" s="830"/>
      <c r="F89" s="991"/>
      <c r="G89" s="1501" t="s">
        <v>315</v>
      </c>
      <c r="H89" s="1509">
        <v>292060</v>
      </c>
      <c r="I89" s="1515"/>
      <c r="J89" s="1523"/>
      <c r="K89" s="1511"/>
      <c r="L89" s="1516"/>
      <c r="M89" s="1515" t="s">
        <v>29</v>
      </c>
      <c r="N89" s="1507">
        <v>7</v>
      </c>
      <c r="O89" s="1513" t="s">
        <v>36</v>
      </c>
      <c r="P89" s="1378">
        <f t="shared" si="3"/>
        <v>2044420</v>
      </c>
    </row>
    <row r="90" spans="1:17" ht="15" customHeight="1">
      <c r="A90" s="839"/>
      <c r="B90" s="840"/>
      <c r="C90" s="829"/>
      <c r="D90" s="830"/>
      <c r="E90" s="830"/>
      <c r="F90" s="991"/>
      <c r="G90" s="1501" t="s">
        <v>316</v>
      </c>
      <c r="H90" s="1502">
        <v>222370</v>
      </c>
      <c r="I90" s="1515"/>
      <c r="J90" s="1525"/>
      <c r="K90" s="1505"/>
      <c r="L90" s="1517"/>
      <c r="M90" s="1515" t="s">
        <v>29</v>
      </c>
      <c r="N90" s="1507">
        <v>3</v>
      </c>
      <c r="O90" s="1507" t="s">
        <v>36</v>
      </c>
      <c r="P90" s="1378">
        <f t="shared" si="3"/>
        <v>667110</v>
      </c>
    </row>
    <row r="91" spans="1:17" ht="15" customHeight="1">
      <c r="A91" s="839"/>
      <c r="B91" s="840"/>
      <c r="C91" s="829"/>
      <c r="D91" s="830"/>
      <c r="E91" s="830"/>
      <c r="F91" s="991"/>
      <c r="G91" s="1501" t="s">
        <v>317</v>
      </c>
      <c r="H91" s="1502">
        <v>243920</v>
      </c>
      <c r="I91" s="1515"/>
      <c r="J91" s="1525"/>
      <c r="K91" s="1505"/>
      <c r="L91" s="1517"/>
      <c r="M91" s="1515" t="s">
        <v>29</v>
      </c>
      <c r="N91" s="1507">
        <v>9</v>
      </c>
      <c r="O91" s="1507" t="s">
        <v>36</v>
      </c>
      <c r="P91" s="1378">
        <f t="shared" si="3"/>
        <v>2195280</v>
      </c>
    </row>
    <row r="92" spans="1:17" ht="15" customHeight="1">
      <c r="A92" s="839"/>
      <c r="B92" s="840"/>
      <c r="C92" s="829"/>
      <c r="D92" s="830"/>
      <c r="E92" s="830"/>
      <c r="F92" s="991"/>
      <c r="G92" s="1501" t="s">
        <v>318</v>
      </c>
      <c r="H92" s="1502">
        <v>275250</v>
      </c>
      <c r="I92" s="1515"/>
      <c r="J92" s="1525"/>
      <c r="K92" s="1505"/>
      <c r="L92" s="1517"/>
      <c r="M92" s="1515" t="s">
        <v>29</v>
      </c>
      <c r="N92" s="1507">
        <v>1</v>
      </c>
      <c r="O92" s="1507" t="s">
        <v>36</v>
      </c>
      <c r="P92" s="1378">
        <f t="shared" si="3"/>
        <v>275250</v>
      </c>
    </row>
    <row r="93" spans="1:17" ht="15" customHeight="1">
      <c r="A93" s="839"/>
      <c r="B93" s="840"/>
      <c r="C93" s="829"/>
      <c r="D93" s="830"/>
      <c r="E93" s="830"/>
      <c r="F93" s="991"/>
      <c r="G93" s="1501" t="s">
        <v>319</v>
      </c>
      <c r="H93" s="1502">
        <v>217520</v>
      </c>
      <c r="I93" s="1515"/>
      <c r="J93" s="1525"/>
      <c r="K93" s="1505"/>
      <c r="L93" s="1517"/>
      <c r="M93" s="1515" t="s">
        <v>29</v>
      </c>
      <c r="N93" s="1507">
        <v>10.5</v>
      </c>
      <c r="O93" s="1507" t="s">
        <v>36</v>
      </c>
      <c r="P93" s="1378">
        <f t="shared" si="3"/>
        <v>2283960</v>
      </c>
    </row>
    <row r="94" spans="1:17" ht="15" customHeight="1">
      <c r="A94" s="839"/>
      <c r="B94" s="840"/>
      <c r="C94" s="841" t="s">
        <v>151</v>
      </c>
      <c r="D94" s="842">
        <v>46506250</v>
      </c>
      <c r="E94" s="842">
        <f>SUM(P95)</f>
        <v>66138639</v>
      </c>
      <c r="F94" s="986">
        <f>E94-D94</f>
        <v>19632389</v>
      </c>
      <c r="G94" s="843"/>
      <c r="H94" s="844"/>
      <c r="I94" s="845"/>
      <c r="J94" s="824"/>
      <c r="K94" s="114"/>
      <c r="L94" s="825"/>
      <c r="M94" s="846"/>
      <c r="N94" s="847"/>
      <c r="O94" s="1232"/>
      <c r="P94" s="848"/>
    </row>
    <row r="95" spans="1:17" ht="15" customHeight="1">
      <c r="A95" s="839"/>
      <c r="B95" s="840"/>
      <c r="C95" s="849"/>
      <c r="D95" s="820"/>
      <c r="E95" s="820"/>
      <c r="F95" s="990"/>
      <c r="G95" s="850" t="s">
        <v>236</v>
      </c>
      <c r="H95" s="1426">
        <f>SUM(P9,P37,P48,P72)</f>
        <v>540880923</v>
      </c>
      <c r="I95" s="114"/>
      <c r="J95" s="852"/>
      <c r="K95" s="1279"/>
      <c r="L95" s="853"/>
      <c r="M95" s="1279" t="s">
        <v>29</v>
      </c>
      <c r="N95" s="854">
        <v>12</v>
      </c>
      <c r="O95" s="1233" t="s">
        <v>36</v>
      </c>
      <c r="P95" s="1293">
        <f>ROUNDUP((H95/12),-1)+21065219</f>
        <v>66138639</v>
      </c>
    </row>
    <row r="96" spans="1:17" ht="15" customHeight="1">
      <c r="A96" s="839"/>
      <c r="B96" s="840"/>
      <c r="C96" s="855" t="s">
        <v>119</v>
      </c>
      <c r="D96" s="822">
        <v>59753392</v>
      </c>
      <c r="E96" s="822">
        <f>SUM(P97:P101)</f>
        <v>57315050</v>
      </c>
      <c r="F96" s="986">
        <f>E96-D96</f>
        <v>-2438342</v>
      </c>
      <c r="G96" s="823"/>
      <c r="H96" s="824"/>
      <c r="I96" s="114"/>
      <c r="J96" s="824"/>
      <c r="K96" s="114"/>
      <c r="L96" s="825"/>
      <c r="M96" s="114"/>
      <c r="N96" s="847"/>
      <c r="O96" s="1232"/>
      <c r="P96" s="848"/>
    </row>
    <row r="97" spans="1:17" ht="15" customHeight="1">
      <c r="A97" s="839"/>
      <c r="B97" s="840"/>
      <c r="C97" s="856"/>
      <c r="D97" s="830"/>
      <c r="E97" s="830"/>
      <c r="F97" s="990"/>
      <c r="G97" s="850" t="s">
        <v>188</v>
      </c>
      <c r="H97" s="851">
        <f>H95+29200000</f>
        <v>570080923</v>
      </c>
      <c r="I97" s="1279"/>
      <c r="J97" s="857"/>
      <c r="K97" s="1279"/>
      <c r="L97" s="858"/>
      <c r="M97" s="1279" t="s">
        <v>29</v>
      </c>
      <c r="N97" s="859">
        <v>4.4999999999999998E-2</v>
      </c>
      <c r="O97" s="1233" t="s">
        <v>36</v>
      </c>
      <c r="P97" s="860">
        <f>ROUNDUP((H97*N97),-1)</f>
        <v>25653650</v>
      </c>
      <c r="Q97" s="1049"/>
    </row>
    <row r="98" spans="1:17" ht="15" customHeight="1">
      <c r="A98" s="839"/>
      <c r="B98" s="840"/>
      <c r="C98" s="829"/>
      <c r="D98" s="830"/>
      <c r="E98" s="830"/>
      <c r="F98" s="990"/>
      <c r="G98" s="850" t="s">
        <v>198</v>
      </c>
      <c r="H98" s="851">
        <f>H97</f>
        <v>570080923</v>
      </c>
      <c r="I98" s="1279"/>
      <c r="J98" s="852"/>
      <c r="K98" s="1279"/>
      <c r="L98" s="853"/>
      <c r="M98" s="1279" t="s">
        <v>29</v>
      </c>
      <c r="N98" s="1417">
        <v>3.4950000000000002E-2</v>
      </c>
      <c r="O98" s="1233" t="s">
        <v>36</v>
      </c>
      <c r="P98" s="860">
        <f>ROUNDUP((H98*N98),-1)+10</f>
        <v>19924340</v>
      </c>
      <c r="Q98" s="1049"/>
    </row>
    <row r="99" spans="1:17" ht="15" customHeight="1">
      <c r="A99" s="839"/>
      <c r="B99" s="840"/>
      <c r="C99" s="829"/>
      <c r="D99" s="830"/>
      <c r="E99" s="830"/>
      <c r="F99" s="990"/>
      <c r="G99" s="861" t="s">
        <v>195</v>
      </c>
      <c r="H99" s="851">
        <f>P98</f>
        <v>19924340</v>
      </c>
      <c r="I99" s="1279"/>
      <c r="J99" s="852"/>
      <c r="K99" s="1279"/>
      <c r="L99" s="853"/>
      <c r="M99" s="1279" t="s">
        <v>29</v>
      </c>
      <c r="N99" s="859">
        <v>0.1227</v>
      </c>
      <c r="O99" s="1233" t="s">
        <v>36</v>
      </c>
      <c r="P99" s="860">
        <f>ROUNDUP((H99*N99),-1)+10</f>
        <v>2444730</v>
      </c>
      <c r="Q99" s="1049"/>
    </row>
    <row r="100" spans="1:17" ht="15" customHeight="1">
      <c r="A100" s="839"/>
      <c r="B100" s="840"/>
      <c r="C100" s="829"/>
      <c r="D100" s="830"/>
      <c r="E100" s="830"/>
      <c r="F100" s="990"/>
      <c r="G100" s="861" t="s">
        <v>203</v>
      </c>
      <c r="H100" s="851">
        <f>H97</f>
        <v>570080923</v>
      </c>
      <c r="I100" s="1279"/>
      <c r="J100" s="852"/>
      <c r="K100" s="1279"/>
      <c r="L100" s="853"/>
      <c r="M100" s="1279" t="s">
        <v>29</v>
      </c>
      <c r="N100" s="859">
        <v>1.0500000000000001E-2</v>
      </c>
      <c r="O100" s="1233" t="s">
        <v>36</v>
      </c>
      <c r="P100" s="860">
        <f>ROUNDUP((H100*N100),-1)</f>
        <v>5985850</v>
      </c>
      <c r="Q100" s="1049"/>
    </row>
    <row r="101" spans="1:17" ht="15" customHeight="1">
      <c r="A101" s="839"/>
      <c r="B101" s="840"/>
      <c r="C101" s="829"/>
      <c r="D101" s="820"/>
      <c r="E101" s="820"/>
      <c r="F101" s="990"/>
      <c r="G101" s="861" t="s">
        <v>184</v>
      </c>
      <c r="H101" s="851">
        <f>H97</f>
        <v>570080923</v>
      </c>
      <c r="I101" s="1279"/>
      <c r="J101" s="852"/>
      <c r="K101" s="1279"/>
      <c r="L101" s="853"/>
      <c r="M101" s="1279" t="s">
        <v>29</v>
      </c>
      <c r="N101" s="859">
        <v>5.7999999999999996E-3</v>
      </c>
      <c r="O101" s="1233" t="s">
        <v>36</v>
      </c>
      <c r="P101" s="860">
        <f>ROUNDUP((H101*N101),-1)+10</f>
        <v>3306480</v>
      </c>
      <c r="Q101" s="1049"/>
    </row>
    <row r="102" spans="1:17" ht="15" customHeight="1">
      <c r="A102" s="839"/>
      <c r="B102" s="840"/>
      <c r="C102" s="862" t="s">
        <v>127</v>
      </c>
      <c r="D102" s="822">
        <v>0</v>
      </c>
      <c r="E102" s="822">
        <f>SUM(P103:P103)</f>
        <v>0</v>
      </c>
      <c r="F102" s="986">
        <f>E102-D102</f>
        <v>0</v>
      </c>
      <c r="G102" s="823"/>
      <c r="H102" s="824"/>
      <c r="I102" s="114"/>
      <c r="J102" s="824"/>
      <c r="K102" s="114"/>
      <c r="L102" s="825"/>
      <c r="M102" s="826"/>
      <c r="N102" s="825"/>
      <c r="O102" s="1234"/>
      <c r="P102" s="828"/>
    </row>
    <row r="103" spans="1:17" ht="15" customHeight="1">
      <c r="A103" s="839"/>
      <c r="B103" s="863"/>
      <c r="C103" s="303"/>
      <c r="D103" s="864"/>
      <c r="E103" s="113"/>
      <c r="F103" s="992"/>
      <c r="G103" s="241"/>
      <c r="H103" s="217"/>
      <c r="I103" s="1279"/>
      <c r="J103" s="242"/>
      <c r="K103" s="242"/>
      <c r="L103" s="218"/>
      <c r="M103" s="1300"/>
      <c r="N103" s="246"/>
      <c r="O103" s="1235"/>
      <c r="P103" s="243"/>
    </row>
    <row r="104" spans="1:17" ht="15" customHeight="1">
      <c r="A104" s="839"/>
      <c r="B104" s="301" t="s">
        <v>116</v>
      </c>
      <c r="C104" s="302" t="s">
        <v>201</v>
      </c>
      <c r="D104" s="865">
        <f>SUM(D105:D109)</f>
        <v>8680000</v>
      </c>
      <c r="E104" s="865">
        <f>SUM(E105:E109)</f>
        <v>6280000</v>
      </c>
      <c r="F104" s="986">
        <f>E104-D104</f>
        <v>-2400000</v>
      </c>
      <c r="G104" s="866"/>
      <c r="H104" s="867"/>
      <c r="I104" s="868"/>
      <c r="J104" s="867"/>
      <c r="K104" s="868"/>
      <c r="L104" s="825"/>
      <c r="M104" s="826"/>
      <c r="N104" s="825"/>
      <c r="O104" s="1234"/>
      <c r="P104" s="828"/>
    </row>
    <row r="105" spans="1:17" ht="15" customHeight="1">
      <c r="A105" s="839"/>
      <c r="B105" s="303"/>
      <c r="C105" s="304" t="s">
        <v>124</v>
      </c>
      <c r="D105" s="305">
        <v>4200000</v>
      </c>
      <c r="E105" s="305">
        <f>SUM(P106:P107)</f>
        <v>4200000</v>
      </c>
      <c r="F105" s="986">
        <f>E105-D105</f>
        <v>0</v>
      </c>
      <c r="G105" s="306"/>
      <c r="H105" s="307"/>
      <c r="I105" s="544"/>
      <c r="J105" s="308"/>
      <c r="K105" s="544"/>
      <c r="L105" s="544"/>
      <c r="M105" s="1484"/>
      <c r="N105" s="559"/>
      <c r="O105" s="1236"/>
      <c r="P105" s="560"/>
    </row>
    <row r="106" spans="1:17" ht="15" customHeight="1">
      <c r="A106" s="839"/>
      <c r="B106" s="869"/>
      <c r="C106" s="328"/>
      <c r="D106" s="323"/>
      <c r="E106" s="323"/>
      <c r="F106" s="993"/>
      <c r="G106" s="1308" t="s">
        <v>53</v>
      </c>
      <c r="H106" s="1302">
        <v>350000</v>
      </c>
      <c r="I106" s="1300"/>
      <c r="J106" s="1307"/>
      <c r="K106" s="1300"/>
      <c r="L106" s="1300"/>
      <c r="M106" s="1300" t="s">
        <v>29</v>
      </c>
      <c r="N106" s="1297">
        <v>12</v>
      </c>
      <c r="O106" s="1297" t="s">
        <v>36</v>
      </c>
      <c r="P106" s="1296">
        <f>H106*N106</f>
        <v>4200000</v>
      </c>
    </row>
    <row r="107" spans="1:17" ht="15" customHeight="1">
      <c r="A107" s="839"/>
      <c r="B107" s="869"/>
      <c r="C107" s="870"/>
      <c r="D107" s="871"/>
      <c r="E107" s="871"/>
      <c r="F107" s="994"/>
      <c r="G107" s="872"/>
      <c r="H107" s="873"/>
      <c r="I107" s="232"/>
      <c r="J107" s="232"/>
      <c r="K107" s="232"/>
      <c r="L107" s="1399"/>
      <c r="M107" s="595"/>
      <c r="N107" s="874"/>
      <c r="O107" s="1237"/>
      <c r="P107" s="875"/>
    </row>
    <row r="108" spans="1:17" ht="15" customHeight="1">
      <c r="A108" s="839"/>
      <c r="B108" s="869"/>
      <c r="C108" s="351" t="s">
        <v>121</v>
      </c>
      <c r="D108" s="305">
        <v>4480000</v>
      </c>
      <c r="E108" s="305">
        <f>SUM(P109:P110)</f>
        <v>2080000</v>
      </c>
      <c r="F108" s="986">
        <f>E108-D108</f>
        <v>-2400000</v>
      </c>
      <c r="G108" s="312"/>
      <c r="H108" s="307"/>
      <c r="I108" s="544"/>
      <c r="J108" s="558"/>
      <c r="K108" s="1484"/>
      <c r="L108" s="419"/>
      <c r="M108" s="544"/>
      <c r="N108" s="559"/>
      <c r="O108" s="1236"/>
      <c r="P108" s="560"/>
    </row>
    <row r="109" spans="1:17" ht="15" customHeight="1">
      <c r="A109" s="839"/>
      <c r="B109" s="869"/>
      <c r="C109" s="438"/>
      <c r="D109" s="224"/>
      <c r="E109" s="224"/>
      <c r="F109" s="993"/>
      <c r="G109" s="1292" t="s">
        <v>74</v>
      </c>
      <c r="H109" s="1283">
        <v>8000</v>
      </c>
      <c r="I109" s="1279" t="s">
        <v>29</v>
      </c>
      <c r="J109" s="1286">
        <v>16</v>
      </c>
      <c r="K109" s="1482"/>
      <c r="L109" s="413"/>
      <c r="M109" s="1279" t="s">
        <v>29</v>
      </c>
      <c r="N109" s="1289">
        <v>5</v>
      </c>
      <c r="O109" s="1289" t="s">
        <v>36</v>
      </c>
      <c r="P109" s="1276">
        <f>H109*J109*N109</f>
        <v>640000</v>
      </c>
    </row>
    <row r="110" spans="1:17" ht="15" customHeight="1">
      <c r="A110" s="839"/>
      <c r="B110" s="869"/>
      <c r="C110" s="438"/>
      <c r="D110" s="224"/>
      <c r="E110" s="224"/>
      <c r="F110" s="993"/>
      <c r="G110" s="1306" t="s">
        <v>16</v>
      </c>
      <c r="H110" s="1305">
        <v>8000</v>
      </c>
      <c r="I110" s="1279" t="s">
        <v>29</v>
      </c>
      <c r="J110" s="1286">
        <v>18</v>
      </c>
      <c r="K110" s="1482"/>
      <c r="L110" s="1289"/>
      <c r="M110" s="1279" t="s">
        <v>29</v>
      </c>
      <c r="N110" s="1304">
        <v>10</v>
      </c>
      <c r="O110" s="1289" t="s">
        <v>36</v>
      </c>
      <c r="P110" s="1276">
        <f>H110*J110*N110</f>
        <v>1440000</v>
      </c>
    </row>
    <row r="111" spans="1:17" ht="15" customHeight="1">
      <c r="A111" s="839"/>
      <c r="B111" s="876" t="s">
        <v>205</v>
      </c>
      <c r="C111" s="302" t="s">
        <v>193</v>
      </c>
      <c r="D111" s="305">
        <f>D112+D114+D143+D148+D172+D178</f>
        <v>99136388</v>
      </c>
      <c r="E111" s="305">
        <f>E112+E114+E143+E148+E172+E178</f>
        <v>102336018</v>
      </c>
      <c r="F111" s="986">
        <f>E111-D111</f>
        <v>3199630</v>
      </c>
      <c r="G111" s="823"/>
      <c r="H111" s="825"/>
      <c r="I111" s="826"/>
      <c r="J111" s="877"/>
      <c r="K111" s="826"/>
      <c r="L111" s="825"/>
      <c r="M111" s="826"/>
      <c r="N111" s="878"/>
      <c r="O111" s="879"/>
      <c r="P111" s="115"/>
    </row>
    <row r="112" spans="1:17" ht="15" customHeight="1">
      <c r="A112" s="839"/>
      <c r="B112" s="880"/>
      <c r="C112" s="881" t="s">
        <v>190</v>
      </c>
      <c r="D112" s="142">
        <v>23400000</v>
      </c>
      <c r="E112" s="142">
        <f>P113</f>
        <v>23400000</v>
      </c>
      <c r="F112" s="986">
        <f>E112-D112</f>
        <v>0</v>
      </c>
      <c r="G112" s="882"/>
      <c r="H112" s="883"/>
      <c r="I112" s="884"/>
      <c r="J112" s="884"/>
      <c r="K112" s="884"/>
      <c r="L112" s="885"/>
      <c r="M112" s="886"/>
      <c r="N112" s="887"/>
      <c r="O112" s="888"/>
      <c r="P112" s="889"/>
    </row>
    <row r="113" spans="1:16" ht="15" customHeight="1">
      <c r="A113" s="839"/>
      <c r="B113" s="840"/>
      <c r="C113" s="890"/>
      <c r="D113" s="224"/>
      <c r="E113" s="224"/>
      <c r="F113" s="993"/>
      <c r="G113" s="1303" t="s">
        <v>239</v>
      </c>
      <c r="H113" s="430">
        <v>10000</v>
      </c>
      <c r="I113" s="1300" t="s">
        <v>29</v>
      </c>
      <c r="J113" s="431">
        <v>13</v>
      </c>
      <c r="K113" s="1300" t="s">
        <v>29</v>
      </c>
      <c r="L113" s="432">
        <v>15</v>
      </c>
      <c r="M113" s="1300" t="s">
        <v>29</v>
      </c>
      <c r="N113" s="433">
        <v>12</v>
      </c>
      <c r="O113" s="1238" t="s">
        <v>36</v>
      </c>
      <c r="P113" s="434">
        <f>(H113*L113*J113*N113)</f>
        <v>23400000</v>
      </c>
    </row>
    <row r="114" spans="1:16" ht="15" customHeight="1">
      <c r="A114" s="891"/>
      <c r="B114" s="1481"/>
      <c r="C114" s="435" t="s">
        <v>114</v>
      </c>
      <c r="D114" s="142">
        <v>28845388</v>
      </c>
      <c r="E114" s="142">
        <f>SUM(P115:P140)</f>
        <v>29929888</v>
      </c>
      <c r="F114" s="986">
        <f>E114-D114</f>
        <v>1084500</v>
      </c>
      <c r="G114" s="892"/>
      <c r="H114" s="858"/>
      <c r="I114" s="884"/>
      <c r="J114" s="893"/>
      <c r="K114" s="884"/>
      <c r="L114" s="858"/>
      <c r="M114" s="884"/>
      <c r="N114" s="894"/>
      <c r="O114" s="888"/>
      <c r="P114" s="895"/>
    </row>
    <row r="115" spans="1:16" ht="15" customHeight="1">
      <c r="A115" s="839"/>
      <c r="B115" s="840"/>
      <c r="C115" s="896"/>
      <c r="D115" s="897"/>
      <c r="E115" s="897"/>
      <c r="F115" s="995"/>
      <c r="G115" s="372" t="s">
        <v>229</v>
      </c>
      <c r="H115" s="1302">
        <v>150000</v>
      </c>
      <c r="I115" s="1300"/>
      <c r="J115" s="1300"/>
      <c r="K115" s="898"/>
      <c r="L115" s="898"/>
      <c r="M115" s="1300" t="s">
        <v>29</v>
      </c>
      <c r="N115" s="1297">
        <v>12</v>
      </c>
      <c r="O115" s="1297" t="s">
        <v>36</v>
      </c>
      <c r="P115" s="332">
        <f>H115*N115</f>
        <v>1800000</v>
      </c>
    </row>
    <row r="116" spans="1:16" ht="15" customHeight="1">
      <c r="A116" s="839"/>
      <c r="B116" s="840"/>
      <c r="C116" s="1481"/>
      <c r="D116" s="442"/>
      <c r="E116" s="442"/>
      <c r="F116" s="996"/>
      <c r="G116" s="1294" t="s">
        <v>136</v>
      </c>
      <c r="H116" s="1283">
        <v>75000</v>
      </c>
      <c r="I116" s="1279"/>
      <c r="J116" s="1279"/>
      <c r="K116" s="899"/>
      <c r="L116" s="899"/>
      <c r="M116" s="1279" t="s">
        <v>29</v>
      </c>
      <c r="N116" s="1289">
        <v>12</v>
      </c>
      <c r="O116" s="1289" t="s">
        <v>36</v>
      </c>
      <c r="P116" s="1293">
        <f>H116*N116</f>
        <v>900000</v>
      </c>
    </row>
    <row r="117" spans="1:16" ht="15" customHeight="1">
      <c r="A117" s="839"/>
      <c r="B117" s="840"/>
      <c r="C117" s="1481"/>
      <c r="D117" s="442"/>
      <c r="E117" s="442"/>
      <c r="F117" s="996"/>
      <c r="G117" s="1294" t="s">
        <v>216</v>
      </c>
      <c r="H117" s="1283">
        <v>19000</v>
      </c>
      <c r="I117" s="1279" t="s">
        <v>29</v>
      </c>
      <c r="J117" s="1400">
        <v>10</v>
      </c>
      <c r="K117" s="581"/>
      <c r="L117" s="900"/>
      <c r="M117" s="1279" t="s">
        <v>29</v>
      </c>
      <c r="N117" s="1289">
        <v>4</v>
      </c>
      <c r="O117" s="1289" t="s">
        <v>36</v>
      </c>
      <c r="P117" s="1293">
        <f>H117*J117*N117</f>
        <v>760000</v>
      </c>
    </row>
    <row r="118" spans="1:16" ht="15" customHeight="1">
      <c r="A118" s="818"/>
      <c r="B118" s="837"/>
      <c r="C118" s="1481"/>
      <c r="D118" s="442"/>
      <c r="E118" s="442"/>
      <c r="F118" s="996"/>
      <c r="G118" s="1294" t="s">
        <v>277</v>
      </c>
      <c r="H118" s="1283">
        <v>80000</v>
      </c>
      <c r="I118" s="1279" t="s">
        <v>29</v>
      </c>
      <c r="J118" s="1401">
        <v>3</v>
      </c>
      <c r="K118" s="581"/>
      <c r="L118" s="901"/>
      <c r="M118" s="1279" t="s">
        <v>29</v>
      </c>
      <c r="N118" s="1289">
        <v>5</v>
      </c>
      <c r="O118" s="1289" t="s">
        <v>36</v>
      </c>
      <c r="P118" s="1293">
        <f>H118*N118*J118+40000</f>
        <v>1240000</v>
      </c>
    </row>
    <row r="119" spans="1:16" ht="15" customHeight="1">
      <c r="A119" s="839"/>
      <c r="B119" s="840"/>
      <c r="C119" s="1481"/>
      <c r="D119" s="442"/>
      <c r="E119" s="442"/>
      <c r="F119" s="996"/>
      <c r="G119" s="1294" t="s">
        <v>150</v>
      </c>
      <c r="H119" s="1283">
        <v>2500000</v>
      </c>
      <c r="I119" s="1279"/>
      <c r="J119" s="1402"/>
      <c r="K119" s="581"/>
      <c r="L119" s="1403"/>
      <c r="M119" s="1268" t="s">
        <v>29</v>
      </c>
      <c r="N119" s="1289">
        <v>1</v>
      </c>
      <c r="O119" s="1289" t="s">
        <v>36</v>
      </c>
      <c r="P119" s="1293">
        <f>H119*N119</f>
        <v>2500000</v>
      </c>
    </row>
    <row r="120" spans="1:16" ht="15" customHeight="1">
      <c r="A120" s="839"/>
      <c r="B120" s="840"/>
      <c r="C120" s="1481"/>
      <c r="D120" s="442"/>
      <c r="E120" s="442"/>
      <c r="F120" s="996"/>
      <c r="G120" s="1294" t="s">
        <v>175</v>
      </c>
      <c r="H120" s="1283">
        <v>150000</v>
      </c>
      <c r="I120" s="1279"/>
      <c r="J120" s="1404"/>
      <c r="K120" s="581"/>
      <c r="L120" s="899"/>
      <c r="M120" s="1279" t="s">
        <v>29</v>
      </c>
      <c r="N120" s="1289">
        <v>6</v>
      </c>
      <c r="O120" s="1289" t="s">
        <v>36</v>
      </c>
      <c r="P120" s="1293">
        <f>H120*N120</f>
        <v>900000</v>
      </c>
    </row>
    <row r="121" spans="1:16" ht="15" customHeight="1">
      <c r="A121" s="839"/>
      <c r="B121" s="840"/>
      <c r="C121" s="1481"/>
      <c r="D121" s="442"/>
      <c r="E121" s="442"/>
      <c r="F121" s="996"/>
      <c r="G121" s="1294" t="s">
        <v>137</v>
      </c>
      <c r="H121" s="1283">
        <v>174000</v>
      </c>
      <c r="I121" s="1279"/>
      <c r="J121" s="1404"/>
      <c r="K121" s="581"/>
      <c r="L121" s="899"/>
      <c r="M121" s="1279" t="s">
        <v>29</v>
      </c>
      <c r="N121" s="1289">
        <v>6</v>
      </c>
      <c r="O121" s="1289" t="s">
        <v>36</v>
      </c>
      <c r="P121" s="1293">
        <f>H121*N121-4000</f>
        <v>1040000</v>
      </c>
    </row>
    <row r="122" spans="1:16" ht="15" customHeight="1">
      <c r="A122" s="839"/>
      <c r="B122" s="837"/>
      <c r="C122" s="1481"/>
      <c r="D122" s="902"/>
      <c r="E122" s="902"/>
      <c r="F122" s="996"/>
      <c r="G122" s="1294" t="s">
        <v>141</v>
      </c>
      <c r="H122" s="1283">
        <v>20</v>
      </c>
      <c r="I122" s="1279" t="s">
        <v>29</v>
      </c>
      <c r="J122" s="1401">
        <v>1700</v>
      </c>
      <c r="K122" s="1279" t="s">
        <v>29</v>
      </c>
      <c r="L122" s="1427">
        <v>15</v>
      </c>
      <c r="M122" s="1279" t="s">
        <v>29</v>
      </c>
      <c r="N122" s="1289">
        <v>1</v>
      </c>
      <c r="O122" s="1289" t="s">
        <v>36</v>
      </c>
      <c r="P122" s="1276">
        <f>H122*J122*L122*N122</f>
        <v>510000</v>
      </c>
    </row>
    <row r="123" spans="1:16" ht="15" customHeight="1">
      <c r="A123" s="839"/>
      <c r="B123" s="837"/>
      <c r="C123" s="1481"/>
      <c r="D123" s="902"/>
      <c r="E123" s="902"/>
      <c r="F123" s="996"/>
      <c r="G123" s="1294" t="s">
        <v>152</v>
      </c>
      <c r="H123" s="1283">
        <v>100000</v>
      </c>
      <c r="I123" s="1279"/>
      <c r="J123" s="1404"/>
      <c r="K123" s="581"/>
      <c r="L123" s="899"/>
      <c r="M123" s="1279" t="s">
        <v>29</v>
      </c>
      <c r="N123" s="903">
        <v>12</v>
      </c>
      <c r="O123" s="1289" t="s">
        <v>36</v>
      </c>
      <c r="P123" s="1276">
        <f t="shared" ref="P123:P129" si="4">H123*N123</f>
        <v>1200000</v>
      </c>
    </row>
    <row r="124" spans="1:16" ht="15" customHeight="1">
      <c r="A124" s="839"/>
      <c r="B124" s="837"/>
      <c r="C124" s="1481"/>
      <c r="D124" s="902"/>
      <c r="E124" s="902"/>
      <c r="F124" s="996"/>
      <c r="G124" s="1294" t="s">
        <v>229</v>
      </c>
      <c r="H124" s="1283">
        <v>200000</v>
      </c>
      <c r="I124" s="1279"/>
      <c r="J124" s="1404"/>
      <c r="K124" s="581"/>
      <c r="L124" s="1279"/>
      <c r="M124" s="1279" t="s">
        <v>29</v>
      </c>
      <c r="N124" s="1289">
        <v>12</v>
      </c>
      <c r="O124" s="1289" t="s">
        <v>36</v>
      </c>
      <c r="P124" s="1276">
        <f t="shared" si="4"/>
        <v>2400000</v>
      </c>
    </row>
    <row r="125" spans="1:16" ht="15" customHeight="1">
      <c r="A125" s="839"/>
      <c r="B125" s="837"/>
      <c r="C125" s="1481"/>
      <c r="D125" s="902"/>
      <c r="E125" s="902"/>
      <c r="F125" s="996"/>
      <c r="G125" s="1294" t="s">
        <v>10</v>
      </c>
      <c r="H125" s="1283">
        <v>2072000</v>
      </c>
      <c r="I125" s="1279"/>
      <c r="J125" s="1404"/>
      <c r="K125" s="581"/>
      <c r="L125" s="1279"/>
      <c r="M125" s="1279" t="s">
        <v>29</v>
      </c>
      <c r="N125" s="1289">
        <v>1</v>
      </c>
      <c r="O125" s="1289" t="s">
        <v>36</v>
      </c>
      <c r="P125" s="1276">
        <f t="shared" si="4"/>
        <v>2072000</v>
      </c>
    </row>
    <row r="126" spans="1:16" ht="15" customHeight="1">
      <c r="A126" s="839"/>
      <c r="B126" s="837"/>
      <c r="C126" s="1481"/>
      <c r="D126" s="902"/>
      <c r="E126" s="902"/>
      <c r="F126" s="996"/>
      <c r="G126" s="1294" t="s">
        <v>125</v>
      </c>
      <c r="H126" s="1283">
        <v>847788</v>
      </c>
      <c r="I126" s="1279"/>
      <c r="J126" s="1404"/>
      <c r="K126" s="581"/>
      <c r="L126" s="1279"/>
      <c r="M126" s="1279" t="s">
        <v>29</v>
      </c>
      <c r="N126" s="1289">
        <v>1</v>
      </c>
      <c r="O126" s="1289" t="s">
        <v>36</v>
      </c>
      <c r="P126" s="1276">
        <f t="shared" si="4"/>
        <v>847788</v>
      </c>
    </row>
    <row r="127" spans="1:16" ht="15" customHeight="1">
      <c r="A127" s="839"/>
      <c r="B127" s="837"/>
      <c r="C127" s="1481"/>
      <c r="D127" s="902"/>
      <c r="E127" s="902"/>
      <c r="F127" s="996"/>
      <c r="G127" s="1294" t="s">
        <v>8</v>
      </c>
      <c r="H127" s="1283">
        <v>20000</v>
      </c>
      <c r="I127" s="1279"/>
      <c r="J127" s="1404"/>
      <c r="K127" s="581"/>
      <c r="L127" s="1279"/>
      <c r="M127" s="1279" t="s">
        <v>29</v>
      </c>
      <c r="N127" s="1289">
        <v>12</v>
      </c>
      <c r="O127" s="1289" t="s">
        <v>36</v>
      </c>
      <c r="P127" s="1276">
        <f t="shared" si="4"/>
        <v>240000</v>
      </c>
    </row>
    <row r="128" spans="1:16" ht="15" customHeight="1">
      <c r="A128" s="839"/>
      <c r="B128" s="837"/>
      <c r="C128" s="1481"/>
      <c r="D128" s="902"/>
      <c r="E128" s="902"/>
      <c r="F128" s="996"/>
      <c r="G128" s="1294" t="s">
        <v>128</v>
      </c>
      <c r="H128" s="1283">
        <v>45000</v>
      </c>
      <c r="I128" s="1279"/>
      <c r="J128" s="1404"/>
      <c r="K128" s="581"/>
      <c r="L128" s="1279"/>
      <c r="M128" s="1279" t="s">
        <v>29</v>
      </c>
      <c r="N128" s="1289">
        <v>12</v>
      </c>
      <c r="O128" s="1289" t="s">
        <v>36</v>
      </c>
      <c r="P128" s="1276">
        <f t="shared" si="4"/>
        <v>540000</v>
      </c>
    </row>
    <row r="129" spans="1:16" s="1310" customFormat="1" ht="15" customHeight="1">
      <c r="A129" s="839"/>
      <c r="B129" s="837"/>
      <c r="C129" s="1481"/>
      <c r="D129" s="902"/>
      <c r="E129" s="902"/>
      <c r="F129" s="996"/>
      <c r="G129" s="1294" t="s">
        <v>13</v>
      </c>
      <c r="H129" s="1283">
        <v>82500</v>
      </c>
      <c r="I129" s="1279"/>
      <c r="J129" s="1404"/>
      <c r="K129" s="581"/>
      <c r="L129" s="1279"/>
      <c r="M129" s="1279" t="s">
        <v>29</v>
      </c>
      <c r="N129" s="1289">
        <v>12</v>
      </c>
      <c r="O129" s="1289" t="s">
        <v>36</v>
      </c>
      <c r="P129" s="1276">
        <f t="shared" si="4"/>
        <v>990000</v>
      </c>
    </row>
    <row r="130" spans="1:16" s="1310" customFormat="1" ht="15" customHeight="1">
      <c r="A130" s="839"/>
      <c r="B130" s="837"/>
      <c r="C130" s="1481"/>
      <c r="D130" s="902"/>
      <c r="E130" s="902"/>
      <c r="F130" s="996"/>
      <c r="G130" s="1294" t="s">
        <v>130</v>
      </c>
      <c r="H130" s="1283">
        <v>44000</v>
      </c>
      <c r="I130" s="1279" t="s">
        <v>29</v>
      </c>
      <c r="J130" s="1404" t="s">
        <v>343</v>
      </c>
      <c r="K130" s="581"/>
      <c r="L130" s="899"/>
      <c r="M130" s="1279" t="s">
        <v>29</v>
      </c>
      <c r="N130" s="1289">
        <v>12</v>
      </c>
      <c r="O130" s="1289" t="s">
        <v>36</v>
      </c>
      <c r="P130" s="1276">
        <f>H130*N130*1</f>
        <v>528000</v>
      </c>
    </row>
    <row r="131" spans="1:16" s="1310" customFormat="1" ht="15" customHeight="1">
      <c r="A131" s="839"/>
      <c r="B131" s="837"/>
      <c r="C131" s="1481"/>
      <c r="D131" s="902"/>
      <c r="E131" s="902"/>
      <c r="F131" s="996"/>
      <c r="G131" s="1294" t="s">
        <v>131</v>
      </c>
      <c r="H131" s="1283">
        <v>70000</v>
      </c>
      <c r="I131" s="1279"/>
      <c r="J131" s="1404"/>
      <c r="K131" s="581"/>
      <c r="L131" s="1279"/>
      <c r="M131" s="1279" t="s">
        <v>29</v>
      </c>
      <c r="N131" s="1289">
        <v>12</v>
      </c>
      <c r="O131" s="1289" t="s">
        <v>36</v>
      </c>
      <c r="P131" s="1276">
        <f>H131*N131</f>
        <v>840000</v>
      </c>
    </row>
    <row r="132" spans="1:16" s="1310" customFormat="1" ht="15" customHeight="1">
      <c r="A132" s="839"/>
      <c r="B132" s="837"/>
      <c r="C132" s="1481"/>
      <c r="D132" s="902"/>
      <c r="E132" s="902"/>
      <c r="F132" s="996"/>
      <c r="G132" s="1294" t="s">
        <v>135</v>
      </c>
      <c r="H132" s="1283">
        <v>16500</v>
      </c>
      <c r="I132" s="1279" t="s">
        <v>29</v>
      </c>
      <c r="J132" s="1404" t="s">
        <v>343</v>
      </c>
      <c r="K132" s="581"/>
      <c r="L132" s="899"/>
      <c r="M132" s="1279" t="s">
        <v>29</v>
      </c>
      <c r="N132" s="1289">
        <v>12</v>
      </c>
      <c r="O132" s="1289" t="s">
        <v>36</v>
      </c>
      <c r="P132" s="1276">
        <f>H132*N132*1</f>
        <v>198000</v>
      </c>
    </row>
    <row r="133" spans="1:16" s="1310" customFormat="1" ht="15" customHeight="1">
      <c r="A133" s="839"/>
      <c r="B133" s="837"/>
      <c r="C133" s="1481"/>
      <c r="D133" s="902"/>
      <c r="E133" s="902"/>
      <c r="F133" s="996"/>
      <c r="G133" s="1294" t="s">
        <v>196</v>
      </c>
      <c r="H133" s="1283">
        <v>33000</v>
      </c>
      <c r="I133" s="1279" t="s">
        <v>29</v>
      </c>
      <c r="J133" s="1404" t="s">
        <v>344</v>
      </c>
      <c r="K133" s="581"/>
      <c r="L133" s="899"/>
      <c r="M133" s="1279" t="s">
        <v>29</v>
      </c>
      <c r="N133" s="1289">
        <v>12</v>
      </c>
      <c r="O133" s="1289" t="s">
        <v>36</v>
      </c>
      <c r="P133" s="1276">
        <f>H133*N133*3</f>
        <v>1188000</v>
      </c>
    </row>
    <row r="134" spans="1:16" s="1310" customFormat="1" ht="15" customHeight="1">
      <c r="A134" s="839"/>
      <c r="B134" s="837"/>
      <c r="C134" s="1481"/>
      <c r="D134" s="902"/>
      <c r="E134" s="902"/>
      <c r="F134" s="996"/>
      <c r="G134" s="1294" t="s">
        <v>149</v>
      </c>
      <c r="H134" s="1283">
        <v>143000</v>
      </c>
      <c r="I134" s="1279"/>
      <c r="J134" s="1405"/>
      <c r="K134" s="581"/>
      <c r="L134" s="1279"/>
      <c r="M134" s="1279" t="s">
        <v>29</v>
      </c>
      <c r="N134" s="1289">
        <v>12</v>
      </c>
      <c r="O134" s="1289" t="s">
        <v>36</v>
      </c>
      <c r="P134" s="1276">
        <f>H134*N134</f>
        <v>1716000</v>
      </c>
    </row>
    <row r="135" spans="1:16" s="1310" customFormat="1" ht="15" customHeight="1">
      <c r="A135" s="839"/>
      <c r="B135" s="837"/>
      <c r="C135" s="1481"/>
      <c r="D135" s="902"/>
      <c r="E135" s="902"/>
      <c r="F135" s="996"/>
      <c r="G135" s="1294" t="s">
        <v>133</v>
      </c>
      <c r="H135" s="1283">
        <v>200000</v>
      </c>
      <c r="I135" s="1279"/>
      <c r="J135" s="1405"/>
      <c r="K135" s="581"/>
      <c r="L135" s="1279"/>
      <c r="M135" s="1279" t="s">
        <v>29</v>
      </c>
      <c r="N135" s="1289">
        <v>12</v>
      </c>
      <c r="O135" s="1289" t="s">
        <v>36</v>
      </c>
      <c r="P135" s="1276">
        <f>H135*N135</f>
        <v>2400000</v>
      </c>
    </row>
    <row r="136" spans="1:16" s="1310" customFormat="1" ht="15" customHeight="1">
      <c r="A136" s="839"/>
      <c r="B136" s="837"/>
      <c r="C136" s="1481"/>
      <c r="D136" s="902"/>
      <c r="E136" s="902"/>
      <c r="F136" s="996"/>
      <c r="G136" s="1294" t="s">
        <v>138</v>
      </c>
      <c r="H136" s="1283">
        <v>54900</v>
      </c>
      <c r="I136" s="1279" t="s">
        <v>29</v>
      </c>
      <c r="J136" s="1405" t="s">
        <v>345</v>
      </c>
      <c r="K136" s="581"/>
      <c r="L136" s="455"/>
      <c r="M136" s="1279" t="s">
        <v>29</v>
      </c>
      <c r="N136" s="1289">
        <v>12</v>
      </c>
      <c r="O136" s="1289" t="s">
        <v>36</v>
      </c>
      <c r="P136" s="1276">
        <f>H136*N136*2</f>
        <v>1317600</v>
      </c>
    </row>
    <row r="137" spans="1:16" s="1310" customFormat="1" ht="15" customHeight="1">
      <c r="A137" s="839"/>
      <c r="B137" s="837"/>
      <c r="C137" s="1481"/>
      <c r="D137" s="902"/>
      <c r="E137" s="902"/>
      <c r="F137" s="996"/>
      <c r="G137" s="1294" t="s">
        <v>139</v>
      </c>
      <c r="H137" s="1283">
        <v>100000</v>
      </c>
      <c r="I137" s="1279"/>
      <c r="J137" s="1405"/>
      <c r="K137" s="581"/>
      <c r="L137" s="1279"/>
      <c r="M137" s="1279" t="s">
        <v>29</v>
      </c>
      <c r="N137" s="1289">
        <v>12</v>
      </c>
      <c r="O137" s="1289" t="s">
        <v>36</v>
      </c>
      <c r="P137" s="1276">
        <f>H137*N137</f>
        <v>1200000</v>
      </c>
    </row>
    <row r="138" spans="1:16" s="1310" customFormat="1" ht="15" customHeight="1">
      <c r="A138" s="839"/>
      <c r="B138" s="837"/>
      <c r="C138" s="1481"/>
      <c r="D138" s="902"/>
      <c r="E138" s="902"/>
      <c r="F138" s="996"/>
      <c r="G138" s="1294" t="s">
        <v>120</v>
      </c>
      <c r="H138" s="1283">
        <v>126500</v>
      </c>
      <c r="I138" s="1279" t="s">
        <v>29</v>
      </c>
      <c r="J138" s="1405" t="s">
        <v>343</v>
      </c>
      <c r="K138" s="581"/>
      <c r="L138" s="455"/>
      <c r="M138" s="1279" t="s">
        <v>29</v>
      </c>
      <c r="N138" s="1289">
        <v>12</v>
      </c>
      <c r="O138" s="1289" t="s">
        <v>36</v>
      </c>
      <c r="P138" s="1276">
        <f>H138*N138*1</f>
        <v>1518000</v>
      </c>
    </row>
    <row r="139" spans="1:16" s="1310" customFormat="1" ht="15" customHeight="1">
      <c r="A139" s="839"/>
      <c r="B139" s="837"/>
      <c r="C139" s="1481"/>
      <c r="D139" s="902"/>
      <c r="E139" s="902"/>
      <c r="F139" s="996"/>
      <c r="G139" s="1294" t="s">
        <v>346</v>
      </c>
      <c r="H139" s="1283">
        <v>17500</v>
      </c>
      <c r="I139" s="1279" t="s">
        <v>29</v>
      </c>
      <c r="J139" s="1405" t="s">
        <v>347</v>
      </c>
      <c r="K139" s="581"/>
      <c r="L139" s="455"/>
      <c r="M139" s="1279" t="s">
        <v>29</v>
      </c>
      <c r="N139" s="1289">
        <v>5</v>
      </c>
      <c r="O139" s="1289" t="s">
        <v>36</v>
      </c>
      <c r="P139" s="1276">
        <f>H139*N139*4</f>
        <v>350000</v>
      </c>
    </row>
    <row r="140" spans="1:16" s="1310" customFormat="1" ht="15" customHeight="1">
      <c r="A140" s="839"/>
      <c r="B140" s="837"/>
      <c r="C140" s="1481"/>
      <c r="D140" s="902"/>
      <c r="E140" s="902"/>
      <c r="F140" s="996"/>
      <c r="G140" s="1294" t="s">
        <v>348</v>
      </c>
      <c r="H140" s="1283">
        <v>734500</v>
      </c>
      <c r="I140" s="904"/>
      <c r="J140" s="1279"/>
      <c r="K140" s="581"/>
      <c r="L140" s="1279"/>
      <c r="M140" s="1279" t="s">
        <v>29</v>
      </c>
      <c r="N140" s="1289">
        <v>1</v>
      </c>
      <c r="O140" s="1289" t="s">
        <v>36</v>
      </c>
      <c r="P140" s="1276">
        <f>H140*N140</f>
        <v>734500</v>
      </c>
    </row>
    <row r="141" spans="1:16" s="1310" customFormat="1" ht="15" customHeight="1">
      <c r="A141" s="839"/>
      <c r="B141" s="837"/>
      <c r="C141" s="1481"/>
      <c r="D141" s="902"/>
      <c r="E141" s="902"/>
      <c r="F141" s="996"/>
      <c r="G141" s="1294" t="s">
        <v>349</v>
      </c>
      <c r="H141" s="1283"/>
      <c r="I141" s="1279"/>
      <c r="J141" s="904"/>
      <c r="K141" s="1279"/>
      <c r="L141" s="1279"/>
      <c r="M141" s="1279"/>
      <c r="N141" s="1289"/>
      <c r="O141" s="1289"/>
      <c r="P141" s="1293"/>
    </row>
    <row r="142" spans="1:16" s="1310" customFormat="1" ht="15" customHeight="1">
      <c r="A142" s="839"/>
      <c r="B142" s="837"/>
      <c r="C142" s="1481"/>
      <c r="D142" s="902"/>
      <c r="E142" s="902"/>
      <c r="F142" s="996"/>
      <c r="G142" s="1294"/>
      <c r="H142" s="1283"/>
      <c r="I142" s="1279"/>
      <c r="J142" s="904"/>
      <c r="K142" s="1279"/>
      <c r="L142" s="1279"/>
      <c r="M142" s="1279"/>
      <c r="N142" s="1289"/>
      <c r="O142" s="1289"/>
      <c r="P142" s="1293"/>
    </row>
    <row r="143" spans="1:16" s="1310" customFormat="1" ht="15" customHeight="1">
      <c r="A143" s="839"/>
      <c r="B143" s="837"/>
      <c r="C143" s="881" t="s">
        <v>134</v>
      </c>
      <c r="D143" s="142">
        <v>8888000</v>
      </c>
      <c r="E143" s="142">
        <f>SUM(P144:P147)</f>
        <v>8888000</v>
      </c>
      <c r="F143" s="986">
        <f>E143-D143</f>
        <v>0</v>
      </c>
      <c r="G143" s="905"/>
      <c r="H143" s="906"/>
      <c r="I143" s="907"/>
      <c r="J143" s="908"/>
      <c r="K143" s="907"/>
      <c r="L143" s="909"/>
      <c r="M143" s="907"/>
      <c r="N143" s="910"/>
      <c r="O143" s="911"/>
      <c r="P143" s="1526"/>
    </row>
    <row r="144" spans="1:16" s="1310" customFormat="1" ht="15" customHeight="1">
      <c r="A144" s="839"/>
      <c r="B144" s="837"/>
      <c r="C144" s="819"/>
      <c r="D144" s="442"/>
      <c r="E144" s="442"/>
      <c r="F144" s="997"/>
      <c r="G144" s="1308" t="s">
        <v>276</v>
      </c>
      <c r="H144" s="1302">
        <v>380000</v>
      </c>
      <c r="I144" s="1300"/>
      <c r="J144" s="1302"/>
      <c r="K144" s="1300"/>
      <c r="L144" s="581"/>
      <c r="M144" s="1300" t="s">
        <v>29</v>
      </c>
      <c r="N144" s="1297">
        <v>12</v>
      </c>
      <c r="O144" s="1297" t="s">
        <v>36</v>
      </c>
      <c r="P144" s="1288">
        <f>H144*N144-60000</f>
        <v>4500000</v>
      </c>
    </row>
    <row r="145" spans="1:16" ht="15" customHeight="1">
      <c r="A145" s="839"/>
      <c r="B145" s="837"/>
      <c r="C145" s="1481"/>
      <c r="D145" s="346"/>
      <c r="E145" s="346"/>
      <c r="F145" s="996"/>
      <c r="G145" s="1292" t="s">
        <v>247</v>
      </c>
      <c r="H145" s="1283">
        <v>100000</v>
      </c>
      <c r="I145" s="1279"/>
      <c r="J145" s="1283"/>
      <c r="K145" s="1279"/>
      <c r="L145" s="581"/>
      <c r="M145" s="1279" t="s">
        <v>29</v>
      </c>
      <c r="N145" s="1289">
        <v>12</v>
      </c>
      <c r="O145" s="1289" t="s">
        <v>36</v>
      </c>
      <c r="P145" s="1288">
        <f>H145*N145</f>
        <v>1200000</v>
      </c>
    </row>
    <row r="146" spans="1:16" ht="15" customHeight="1">
      <c r="A146" s="839"/>
      <c r="B146" s="837"/>
      <c r="C146" s="1481"/>
      <c r="D146" s="224"/>
      <c r="E146" s="224"/>
      <c r="F146" s="998"/>
      <c r="G146" s="1292" t="s">
        <v>46</v>
      </c>
      <c r="H146" s="1283">
        <v>33000</v>
      </c>
      <c r="I146" s="1279" t="s">
        <v>29</v>
      </c>
      <c r="J146" s="452">
        <v>3</v>
      </c>
      <c r="K146" s="581"/>
      <c r="L146" s="452"/>
      <c r="M146" s="1279" t="s">
        <v>29</v>
      </c>
      <c r="N146" s="1289">
        <v>12</v>
      </c>
      <c r="O146" s="1289" t="s">
        <v>36</v>
      </c>
      <c r="P146" s="1288">
        <f>H146*N146*3</f>
        <v>1188000</v>
      </c>
    </row>
    <row r="147" spans="1:16" ht="15" customHeight="1">
      <c r="A147" s="839"/>
      <c r="B147" s="837"/>
      <c r="C147" s="1481"/>
      <c r="D147" s="224"/>
      <c r="E147" s="224"/>
      <c r="F147" s="997"/>
      <c r="G147" s="1287" t="s">
        <v>278</v>
      </c>
      <c r="H147" s="385">
        <v>2300</v>
      </c>
      <c r="I147" s="595" t="s">
        <v>29</v>
      </c>
      <c r="J147" s="1406">
        <v>72.5</v>
      </c>
      <c r="K147" s="581"/>
      <c r="L147" s="1406"/>
      <c r="M147" s="595" t="s">
        <v>29</v>
      </c>
      <c r="N147" s="388">
        <v>12</v>
      </c>
      <c r="O147" s="388" t="s">
        <v>36</v>
      </c>
      <c r="P147" s="1288">
        <f>(H147*J147*N147)-1000</f>
        <v>2000000</v>
      </c>
    </row>
    <row r="148" spans="1:16" ht="15" customHeight="1">
      <c r="A148" s="839"/>
      <c r="B148" s="837"/>
      <c r="C148" s="855" t="s">
        <v>113</v>
      </c>
      <c r="D148" s="142">
        <v>11210000</v>
      </c>
      <c r="E148" s="142">
        <f>SUM(P149,P150,P151,P152,P161,P167,P169,P170,P171)</f>
        <v>11210000</v>
      </c>
      <c r="F148" s="986">
        <f>E148-D148</f>
        <v>0</v>
      </c>
      <c r="G148" s="914"/>
      <c r="H148" s="825"/>
      <c r="I148" s="826"/>
      <c r="J148" s="826"/>
      <c r="K148" s="826"/>
      <c r="L148" s="825"/>
      <c r="M148" s="826"/>
      <c r="N148" s="915"/>
      <c r="O148" s="915"/>
      <c r="P148" s="1527"/>
    </row>
    <row r="149" spans="1:16" ht="15" customHeight="1">
      <c r="A149" s="839"/>
      <c r="B149" s="837"/>
      <c r="C149" s="869"/>
      <c r="D149" s="913"/>
      <c r="E149" s="913"/>
      <c r="F149" s="997"/>
      <c r="G149" s="1256" t="s">
        <v>356</v>
      </c>
      <c r="H149" s="1283">
        <v>300000</v>
      </c>
      <c r="I149" s="1279"/>
      <c r="J149" s="1291"/>
      <c r="K149" s="1482"/>
      <c r="L149" s="581"/>
      <c r="M149" s="1279" t="s">
        <v>29</v>
      </c>
      <c r="N149" s="1289">
        <v>1</v>
      </c>
      <c r="O149" s="1289" t="s">
        <v>36</v>
      </c>
      <c r="P149" s="1276">
        <f>H149*N149</f>
        <v>300000</v>
      </c>
    </row>
    <row r="150" spans="1:16" ht="15" customHeight="1">
      <c r="A150" s="839"/>
      <c r="B150" s="837"/>
      <c r="C150" s="869"/>
      <c r="D150" s="913"/>
      <c r="E150" s="913"/>
      <c r="F150" s="997"/>
      <c r="G150" s="1256" t="s">
        <v>258</v>
      </c>
      <c r="H150" s="1283">
        <v>30000</v>
      </c>
      <c r="I150" s="1279"/>
      <c r="J150" s="1291"/>
      <c r="K150" s="1482"/>
      <c r="L150" s="581"/>
      <c r="M150" s="1279" t="s">
        <v>29</v>
      </c>
      <c r="N150" s="1289">
        <v>1</v>
      </c>
      <c r="O150" s="1289" t="s">
        <v>36</v>
      </c>
      <c r="P150" s="1276">
        <f>H150*N150</f>
        <v>30000</v>
      </c>
    </row>
    <row r="151" spans="1:16" ht="15" customHeight="1">
      <c r="A151" s="839"/>
      <c r="B151" s="837"/>
      <c r="C151" s="869"/>
      <c r="D151" s="913"/>
      <c r="E151" s="913"/>
      <c r="F151" s="997"/>
      <c r="G151" s="1292" t="s">
        <v>260</v>
      </c>
      <c r="H151" s="1283">
        <v>200000</v>
      </c>
      <c r="I151" s="1279"/>
      <c r="J151" s="1286" t="s">
        <v>37</v>
      </c>
      <c r="K151" s="1279"/>
      <c r="L151" s="581"/>
      <c r="M151" s="1279" t="s">
        <v>29</v>
      </c>
      <c r="N151" s="1304">
        <v>1</v>
      </c>
      <c r="O151" s="1289" t="s">
        <v>36</v>
      </c>
      <c r="P151" s="1276">
        <f>H151*N151</f>
        <v>200000</v>
      </c>
    </row>
    <row r="152" spans="1:16" ht="15" customHeight="1">
      <c r="A152" s="839"/>
      <c r="B152" s="837"/>
      <c r="C152" s="869"/>
      <c r="D152" s="913"/>
      <c r="E152" s="913"/>
      <c r="F152" s="997"/>
      <c r="G152" s="1244" t="s">
        <v>252</v>
      </c>
      <c r="H152" s="1283"/>
      <c r="I152" s="1279"/>
      <c r="J152" s="1295"/>
      <c r="K152" s="1279"/>
      <c r="L152" s="581"/>
      <c r="M152" s="448"/>
      <c r="N152" s="1304"/>
      <c r="O152" s="1289"/>
      <c r="P152" s="1276">
        <f>SUM(P153:P160)</f>
        <v>7520000</v>
      </c>
    </row>
    <row r="153" spans="1:16" ht="15" customHeight="1">
      <c r="A153" s="839"/>
      <c r="B153" s="837"/>
      <c r="C153" s="869"/>
      <c r="D153" s="913"/>
      <c r="E153" s="913"/>
      <c r="F153" s="997"/>
      <c r="G153" s="1244" t="s">
        <v>178</v>
      </c>
      <c r="H153" s="1283">
        <v>750000</v>
      </c>
      <c r="I153" s="1279" t="s">
        <v>29</v>
      </c>
      <c r="J153" s="1291">
        <v>1</v>
      </c>
      <c r="K153" s="1279"/>
      <c r="L153" s="581"/>
      <c r="M153" s="1279" t="s">
        <v>29</v>
      </c>
      <c r="N153" s="1304">
        <v>1</v>
      </c>
      <c r="O153" s="1289" t="s">
        <v>36</v>
      </c>
      <c r="P153" s="1249">
        <f t="shared" ref="P153:P160" si="5">SUM(H153*J153*N153)</f>
        <v>750000</v>
      </c>
    </row>
    <row r="154" spans="1:16" ht="15" customHeight="1">
      <c r="A154" s="839"/>
      <c r="B154" s="837"/>
      <c r="C154" s="869"/>
      <c r="D154" s="913"/>
      <c r="E154" s="913"/>
      <c r="F154" s="997"/>
      <c r="G154" s="1244" t="s">
        <v>63</v>
      </c>
      <c r="H154" s="1283">
        <v>500000</v>
      </c>
      <c r="I154" s="1279" t="s">
        <v>29</v>
      </c>
      <c r="J154" s="1291">
        <v>1</v>
      </c>
      <c r="K154" s="1279"/>
      <c r="L154" s="581"/>
      <c r="M154" s="1279" t="s">
        <v>29</v>
      </c>
      <c r="N154" s="1304">
        <v>1</v>
      </c>
      <c r="O154" s="1289" t="s">
        <v>36</v>
      </c>
      <c r="P154" s="1249">
        <f t="shared" si="5"/>
        <v>500000</v>
      </c>
    </row>
    <row r="155" spans="1:16" ht="15" customHeight="1">
      <c r="A155" s="839"/>
      <c r="B155" s="837"/>
      <c r="C155" s="869"/>
      <c r="D155" s="913"/>
      <c r="E155" s="913"/>
      <c r="F155" s="997"/>
      <c r="G155" s="1244" t="s">
        <v>48</v>
      </c>
      <c r="H155" s="1283">
        <v>800000</v>
      </c>
      <c r="I155" s="1279" t="s">
        <v>29</v>
      </c>
      <c r="J155" s="1291">
        <v>1</v>
      </c>
      <c r="K155" s="1279"/>
      <c r="L155" s="581"/>
      <c r="M155" s="1279" t="s">
        <v>29</v>
      </c>
      <c r="N155" s="1304">
        <v>1</v>
      </c>
      <c r="O155" s="1289" t="s">
        <v>36</v>
      </c>
      <c r="P155" s="1249">
        <f t="shared" si="5"/>
        <v>800000</v>
      </c>
    </row>
    <row r="156" spans="1:16" ht="15" customHeight="1">
      <c r="A156" s="839"/>
      <c r="B156" s="837"/>
      <c r="C156" s="869"/>
      <c r="D156" s="913"/>
      <c r="E156" s="913"/>
      <c r="F156" s="997"/>
      <c r="G156" s="1244" t="s">
        <v>84</v>
      </c>
      <c r="H156" s="1283">
        <v>670000</v>
      </c>
      <c r="I156" s="1279" t="s">
        <v>29</v>
      </c>
      <c r="J156" s="1291">
        <v>1</v>
      </c>
      <c r="K156" s="1279"/>
      <c r="L156" s="581"/>
      <c r="M156" s="1279" t="s">
        <v>29</v>
      </c>
      <c r="N156" s="1304">
        <v>1</v>
      </c>
      <c r="O156" s="1289" t="s">
        <v>36</v>
      </c>
      <c r="P156" s="1249">
        <f t="shared" si="5"/>
        <v>670000</v>
      </c>
    </row>
    <row r="157" spans="1:16" ht="15" customHeight="1">
      <c r="A157" s="839"/>
      <c r="B157" s="837"/>
      <c r="C157" s="869"/>
      <c r="D157" s="913"/>
      <c r="E157" s="913"/>
      <c r="F157" s="997"/>
      <c r="G157" s="1244" t="s">
        <v>57</v>
      </c>
      <c r="H157" s="1283">
        <v>900000</v>
      </c>
      <c r="I157" s="1279" t="s">
        <v>29</v>
      </c>
      <c r="J157" s="1291">
        <v>1</v>
      </c>
      <c r="K157" s="1279"/>
      <c r="L157" s="581"/>
      <c r="M157" s="1279" t="s">
        <v>29</v>
      </c>
      <c r="N157" s="1304">
        <v>1</v>
      </c>
      <c r="O157" s="1289" t="s">
        <v>36</v>
      </c>
      <c r="P157" s="1249">
        <f t="shared" si="5"/>
        <v>900000</v>
      </c>
    </row>
    <row r="158" spans="1:16" ht="15" customHeight="1">
      <c r="A158" s="839"/>
      <c r="B158" s="837"/>
      <c r="C158" s="869"/>
      <c r="D158" s="913"/>
      <c r="E158" s="913"/>
      <c r="F158" s="997"/>
      <c r="G158" s="1244" t="s">
        <v>103</v>
      </c>
      <c r="H158" s="1283">
        <v>1400000</v>
      </c>
      <c r="I158" s="1279" t="s">
        <v>29</v>
      </c>
      <c r="J158" s="1291">
        <v>1</v>
      </c>
      <c r="K158" s="1279"/>
      <c r="L158" s="581"/>
      <c r="M158" s="1279" t="s">
        <v>29</v>
      </c>
      <c r="N158" s="1304">
        <v>1</v>
      </c>
      <c r="O158" s="1289" t="s">
        <v>36</v>
      </c>
      <c r="P158" s="1249">
        <f t="shared" si="5"/>
        <v>1400000</v>
      </c>
    </row>
    <row r="159" spans="1:16" ht="15" customHeight="1">
      <c r="A159" s="839"/>
      <c r="B159" s="837"/>
      <c r="C159" s="869"/>
      <c r="D159" s="913"/>
      <c r="E159" s="913"/>
      <c r="F159" s="997"/>
      <c r="G159" s="1244" t="s">
        <v>49</v>
      </c>
      <c r="H159" s="1283">
        <v>700000</v>
      </c>
      <c r="I159" s="1279" t="s">
        <v>29</v>
      </c>
      <c r="J159" s="1291">
        <v>1</v>
      </c>
      <c r="K159" s="1279"/>
      <c r="L159" s="581"/>
      <c r="M159" s="1279" t="s">
        <v>29</v>
      </c>
      <c r="N159" s="1304">
        <v>1</v>
      </c>
      <c r="O159" s="1289" t="s">
        <v>36</v>
      </c>
      <c r="P159" s="1249">
        <f t="shared" si="5"/>
        <v>700000</v>
      </c>
    </row>
    <row r="160" spans="1:16" ht="15" customHeight="1">
      <c r="A160" s="839"/>
      <c r="B160" s="837"/>
      <c r="C160" s="869"/>
      <c r="D160" s="913"/>
      <c r="E160" s="913"/>
      <c r="F160" s="997"/>
      <c r="G160" s="1244" t="s">
        <v>72</v>
      </c>
      <c r="H160" s="1283">
        <v>1800000</v>
      </c>
      <c r="I160" s="1279" t="s">
        <v>29</v>
      </c>
      <c r="J160" s="1291">
        <v>1</v>
      </c>
      <c r="K160" s="1279"/>
      <c r="L160" s="581"/>
      <c r="M160" s="1279" t="s">
        <v>29</v>
      </c>
      <c r="N160" s="1304">
        <v>1</v>
      </c>
      <c r="O160" s="1289" t="s">
        <v>36</v>
      </c>
      <c r="P160" s="1249">
        <f t="shared" si="5"/>
        <v>1800000</v>
      </c>
    </row>
    <row r="161" spans="1:16" s="1310" customFormat="1" ht="15" customHeight="1">
      <c r="A161" s="839"/>
      <c r="B161" s="837"/>
      <c r="C161" s="869"/>
      <c r="D161" s="913"/>
      <c r="E161" s="913"/>
      <c r="F161" s="997"/>
      <c r="G161" s="1253" t="s">
        <v>261</v>
      </c>
      <c r="H161" s="1283"/>
      <c r="I161" s="1279"/>
      <c r="J161" s="1291"/>
      <c r="K161" s="1279"/>
      <c r="L161" s="581"/>
      <c r="M161" s="1279"/>
      <c r="N161" s="1304"/>
      <c r="O161" s="1289"/>
      <c r="P161" s="1276">
        <f>SUM(P162:P166)</f>
        <v>660000</v>
      </c>
    </row>
    <row r="162" spans="1:16" s="1310" customFormat="1" ht="15" customHeight="1">
      <c r="A162" s="839"/>
      <c r="B162" s="837"/>
      <c r="C162" s="869"/>
      <c r="D162" s="913"/>
      <c r="E162" s="913"/>
      <c r="F162" s="997"/>
      <c r="G162" s="1253" t="s">
        <v>178</v>
      </c>
      <c r="H162" s="1283">
        <v>60000</v>
      </c>
      <c r="I162" s="1279" t="s">
        <v>29</v>
      </c>
      <c r="J162" s="1291">
        <v>1</v>
      </c>
      <c r="K162" s="1279"/>
      <c r="L162" s="581"/>
      <c r="M162" s="1279" t="s">
        <v>29</v>
      </c>
      <c r="N162" s="1304">
        <v>1</v>
      </c>
      <c r="O162" s="1289" t="s">
        <v>36</v>
      </c>
      <c r="P162" s="1249">
        <f>H162*J162*N162</f>
        <v>60000</v>
      </c>
    </row>
    <row r="163" spans="1:16" s="1310" customFormat="1" ht="15" customHeight="1">
      <c r="A163" s="839"/>
      <c r="B163" s="837"/>
      <c r="C163" s="869"/>
      <c r="D163" s="913"/>
      <c r="E163" s="913"/>
      <c r="F163" s="997"/>
      <c r="G163" s="1253" t="s">
        <v>61</v>
      </c>
      <c r="H163" s="1283">
        <v>80000</v>
      </c>
      <c r="I163" s="1279" t="s">
        <v>29</v>
      </c>
      <c r="J163" s="1291">
        <v>1</v>
      </c>
      <c r="K163" s="1279"/>
      <c r="L163" s="581"/>
      <c r="M163" s="1279" t="s">
        <v>29</v>
      </c>
      <c r="N163" s="1304">
        <v>1</v>
      </c>
      <c r="O163" s="1289" t="s">
        <v>36</v>
      </c>
      <c r="P163" s="1249">
        <f>H163*J163*N163</f>
        <v>80000</v>
      </c>
    </row>
    <row r="164" spans="1:16" s="1310" customFormat="1" ht="15" customHeight="1">
      <c r="A164" s="839"/>
      <c r="B164" s="837"/>
      <c r="C164" s="869"/>
      <c r="D164" s="913"/>
      <c r="E164" s="913"/>
      <c r="F164" s="997"/>
      <c r="G164" s="1253" t="s">
        <v>160</v>
      </c>
      <c r="H164" s="1283">
        <v>65000</v>
      </c>
      <c r="I164" s="1279" t="s">
        <v>29</v>
      </c>
      <c r="J164" s="1291">
        <v>2</v>
      </c>
      <c r="K164" s="1279"/>
      <c r="L164" s="581"/>
      <c r="M164" s="1279" t="s">
        <v>29</v>
      </c>
      <c r="N164" s="1304">
        <v>1</v>
      </c>
      <c r="O164" s="1289" t="s">
        <v>36</v>
      </c>
      <c r="P164" s="1249">
        <f>H164*J164*N164</f>
        <v>130000</v>
      </c>
    </row>
    <row r="165" spans="1:16" s="1310" customFormat="1" ht="15" customHeight="1">
      <c r="A165" s="839"/>
      <c r="B165" s="837"/>
      <c r="C165" s="869"/>
      <c r="D165" s="913"/>
      <c r="E165" s="913"/>
      <c r="F165" s="997"/>
      <c r="G165" s="1244" t="s">
        <v>84</v>
      </c>
      <c r="H165" s="1283">
        <v>300000</v>
      </c>
      <c r="I165" s="1279" t="s">
        <v>29</v>
      </c>
      <c r="J165" s="1291">
        <v>1</v>
      </c>
      <c r="K165" s="1279"/>
      <c r="L165" s="581"/>
      <c r="M165" s="1279" t="s">
        <v>29</v>
      </c>
      <c r="N165" s="1304">
        <v>1</v>
      </c>
      <c r="O165" s="1289" t="s">
        <v>36</v>
      </c>
      <c r="P165" s="1249">
        <f>H165*J165*N165</f>
        <v>300000</v>
      </c>
    </row>
    <row r="166" spans="1:16" s="1310" customFormat="1" ht="15" customHeight="1">
      <c r="A166" s="839"/>
      <c r="B166" s="837"/>
      <c r="C166" s="869"/>
      <c r="D166" s="913"/>
      <c r="E166" s="913"/>
      <c r="F166" s="997"/>
      <c r="G166" s="1244" t="s">
        <v>11</v>
      </c>
      <c r="H166" s="1283">
        <v>30000</v>
      </c>
      <c r="I166" s="1279" t="s">
        <v>29</v>
      </c>
      <c r="J166" s="1291">
        <v>3</v>
      </c>
      <c r="K166" s="1279"/>
      <c r="L166" s="581"/>
      <c r="M166" s="1279" t="s">
        <v>29</v>
      </c>
      <c r="N166" s="1304">
        <v>1</v>
      </c>
      <c r="O166" s="1289" t="s">
        <v>36</v>
      </c>
      <c r="P166" s="1249">
        <f>H166*J166*N166</f>
        <v>90000</v>
      </c>
    </row>
    <row r="167" spans="1:16" s="1310" customFormat="1" ht="15" customHeight="1">
      <c r="A167" s="839"/>
      <c r="B167" s="837"/>
      <c r="C167" s="869"/>
      <c r="D167" s="913"/>
      <c r="E167" s="913"/>
      <c r="F167" s="997"/>
      <c r="G167" s="1244" t="s">
        <v>45</v>
      </c>
      <c r="H167" s="1283">
        <v>100000</v>
      </c>
      <c r="I167" s="1279" t="s">
        <v>29</v>
      </c>
      <c r="J167" s="1291">
        <v>1</v>
      </c>
      <c r="K167" s="1279"/>
      <c r="L167" s="581"/>
      <c r="M167" s="1279" t="s">
        <v>29</v>
      </c>
      <c r="N167" s="1304">
        <v>1</v>
      </c>
      <c r="O167" s="1289" t="s">
        <v>36</v>
      </c>
      <c r="P167" s="1276">
        <f>H167*J167</f>
        <v>100000</v>
      </c>
    </row>
    <row r="168" spans="1:16" s="1310" customFormat="1" ht="15" customHeight="1">
      <c r="A168" s="839"/>
      <c r="B168" s="837"/>
      <c r="C168" s="869"/>
      <c r="D168" s="913"/>
      <c r="E168" s="913"/>
      <c r="F168" s="997"/>
      <c r="G168" s="1253" t="s">
        <v>255</v>
      </c>
      <c r="H168" s="1283"/>
      <c r="I168" s="1279"/>
      <c r="J168" s="1291"/>
      <c r="K168" s="1254"/>
      <c r="L168" s="581"/>
      <c r="M168" s="1279"/>
      <c r="N168" s="1289"/>
      <c r="O168" s="1289"/>
      <c r="P168" s="1276">
        <f>SUM(P169:P171)</f>
        <v>2400000</v>
      </c>
    </row>
    <row r="169" spans="1:16" s="1310" customFormat="1" ht="15" customHeight="1">
      <c r="A169" s="839"/>
      <c r="B169" s="837"/>
      <c r="C169" s="869"/>
      <c r="D169" s="913"/>
      <c r="E169" s="913"/>
      <c r="F169" s="997"/>
      <c r="G169" s="1255" t="s">
        <v>170</v>
      </c>
      <c r="H169" s="1283">
        <v>140000</v>
      </c>
      <c r="I169" s="1279"/>
      <c r="J169" s="1291"/>
      <c r="K169" s="1482"/>
      <c r="L169" s="581"/>
      <c r="M169" s="1279" t="s">
        <v>29</v>
      </c>
      <c r="N169" s="1289">
        <v>12</v>
      </c>
      <c r="O169" s="1289" t="s">
        <v>36</v>
      </c>
      <c r="P169" s="1249">
        <f>H169*N169</f>
        <v>1680000</v>
      </c>
    </row>
    <row r="170" spans="1:16" s="1310" customFormat="1" ht="15" customHeight="1">
      <c r="A170" s="839"/>
      <c r="B170" s="837"/>
      <c r="C170" s="869"/>
      <c r="D170" s="913"/>
      <c r="E170" s="913"/>
      <c r="F170" s="997"/>
      <c r="G170" s="1255" t="s">
        <v>164</v>
      </c>
      <c r="H170" s="1283">
        <v>30000</v>
      </c>
      <c r="I170" s="1279"/>
      <c r="J170" s="1291"/>
      <c r="K170" s="1482"/>
      <c r="L170" s="581"/>
      <c r="M170" s="1279" t="s">
        <v>29</v>
      </c>
      <c r="N170" s="1289">
        <v>12</v>
      </c>
      <c r="O170" s="1289" t="s">
        <v>36</v>
      </c>
      <c r="P170" s="1249">
        <f>H170*N170</f>
        <v>360000</v>
      </c>
    </row>
    <row r="171" spans="1:16" s="1310" customFormat="1" ht="15" customHeight="1">
      <c r="A171" s="839"/>
      <c r="B171" s="837"/>
      <c r="C171" s="869"/>
      <c r="D171" s="913"/>
      <c r="E171" s="913"/>
      <c r="F171" s="997"/>
      <c r="G171" s="1256" t="s">
        <v>179</v>
      </c>
      <c r="H171" s="1283">
        <v>30000</v>
      </c>
      <c r="I171" s="1279"/>
      <c r="J171" s="1291"/>
      <c r="K171" s="1482"/>
      <c r="L171" s="581"/>
      <c r="M171" s="1279" t="s">
        <v>29</v>
      </c>
      <c r="N171" s="1289">
        <v>12</v>
      </c>
      <c r="O171" s="1289" t="s">
        <v>36</v>
      </c>
      <c r="P171" s="1249">
        <f>H171*N171</f>
        <v>360000</v>
      </c>
    </row>
    <row r="172" spans="1:16" s="1310" customFormat="1" ht="15" customHeight="1">
      <c r="A172" s="839"/>
      <c r="B172" s="837"/>
      <c r="C172" s="881" t="s">
        <v>217</v>
      </c>
      <c r="D172" s="324">
        <v>15760000</v>
      </c>
      <c r="E172" s="916">
        <f>P173+P176+P177</f>
        <v>15760000</v>
      </c>
      <c r="F172" s="986">
        <f>E172-D172</f>
        <v>0</v>
      </c>
      <c r="G172" s="823"/>
      <c r="H172" s="825"/>
      <c r="I172" s="826"/>
      <c r="J172" s="877"/>
      <c r="K172" s="826"/>
      <c r="L172" s="825"/>
      <c r="M172" s="826"/>
      <c r="N172" s="878"/>
      <c r="O172" s="878"/>
      <c r="P172" s="115"/>
    </row>
    <row r="173" spans="1:16" s="1310" customFormat="1" ht="15" customHeight="1">
      <c r="A173" s="839"/>
      <c r="B173" s="837"/>
      <c r="C173" s="869"/>
      <c r="D173" s="913"/>
      <c r="E173" s="913"/>
      <c r="F173" s="997"/>
      <c r="G173" s="1256" t="s">
        <v>357</v>
      </c>
      <c r="H173" s="1283"/>
      <c r="I173" s="1482"/>
      <c r="J173" s="1291"/>
      <c r="K173" s="1482"/>
      <c r="L173" s="413"/>
      <c r="M173" s="1482"/>
      <c r="N173" s="1289"/>
      <c r="O173" s="1289"/>
      <c r="P173" s="1276">
        <f>SUM(P174:P175)</f>
        <v>10640000</v>
      </c>
    </row>
    <row r="174" spans="1:16" s="1310" customFormat="1" ht="15" customHeight="1">
      <c r="A174" s="839"/>
      <c r="B174" s="837"/>
      <c r="C174" s="869"/>
      <c r="D174" s="913"/>
      <c r="E174" s="913"/>
      <c r="F174" s="997"/>
      <c r="G174" s="1256" t="s">
        <v>66</v>
      </c>
      <c r="H174" s="1283">
        <v>1350</v>
      </c>
      <c r="I174" s="1279"/>
      <c r="J174" s="379"/>
      <c r="K174" s="1279"/>
      <c r="L174" s="581"/>
      <c r="M174" s="1279" t="s">
        <v>29</v>
      </c>
      <c r="N174" s="451">
        <f>1200+2600</f>
        <v>3800</v>
      </c>
      <c r="O174" s="1289" t="s">
        <v>36</v>
      </c>
      <c r="P174" s="1249">
        <f>H174*N174</f>
        <v>5130000</v>
      </c>
    </row>
    <row r="175" spans="1:16" s="1310" customFormat="1" ht="15" customHeight="1">
      <c r="A175" s="839"/>
      <c r="B175" s="837"/>
      <c r="C175" s="869"/>
      <c r="D175" s="913"/>
      <c r="E175" s="913"/>
      <c r="F175" s="997"/>
      <c r="G175" s="1256" t="s">
        <v>62</v>
      </c>
      <c r="H175" s="1283">
        <v>1450</v>
      </c>
      <c r="I175" s="1279"/>
      <c r="J175" s="379"/>
      <c r="K175" s="1279"/>
      <c r="L175" s="581"/>
      <c r="M175" s="1279" t="s">
        <v>29</v>
      </c>
      <c r="N175" s="451">
        <f>1200+2600</f>
        <v>3800</v>
      </c>
      <c r="O175" s="1289" t="s">
        <v>36</v>
      </c>
      <c r="P175" s="1249">
        <f>H175*N175</f>
        <v>5510000</v>
      </c>
    </row>
    <row r="176" spans="1:16" s="1310" customFormat="1" ht="15" customHeight="1">
      <c r="A176" s="839"/>
      <c r="B176" s="837"/>
      <c r="C176" s="869"/>
      <c r="D176" s="913"/>
      <c r="E176" s="913"/>
      <c r="F176" s="997"/>
      <c r="G176" s="1256" t="s">
        <v>210</v>
      </c>
      <c r="H176" s="1283">
        <v>150000</v>
      </c>
      <c r="I176" s="1279" t="s">
        <v>29</v>
      </c>
      <c r="J176" s="452">
        <v>8</v>
      </c>
      <c r="K176" s="1279"/>
      <c r="L176" s="581"/>
      <c r="M176" s="1407" t="s">
        <v>29</v>
      </c>
      <c r="N176" s="1289">
        <v>4</v>
      </c>
      <c r="O176" s="1289" t="s">
        <v>36</v>
      </c>
      <c r="P176" s="1293">
        <f>H176*J176*N176</f>
        <v>4800000</v>
      </c>
    </row>
    <row r="177" spans="1:16" ht="15" customHeight="1">
      <c r="A177" s="839"/>
      <c r="B177" s="837"/>
      <c r="C177" s="869"/>
      <c r="D177" s="913"/>
      <c r="E177" s="913"/>
      <c r="F177" s="997"/>
      <c r="G177" s="1287" t="s">
        <v>224</v>
      </c>
      <c r="H177" s="385">
        <v>10000</v>
      </c>
      <c r="I177" s="595" t="s">
        <v>29</v>
      </c>
      <c r="J177" s="453">
        <v>8</v>
      </c>
      <c r="K177" s="595"/>
      <c r="L177" s="581"/>
      <c r="M177" s="1265" t="s">
        <v>29</v>
      </c>
      <c r="N177" s="388">
        <v>4</v>
      </c>
      <c r="O177" s="388" t="s">
        <v>36</v>
      </c>
      <c r="P177" s="391">
        <f>H177*J177*N177</f>
        <v>320000</v>
      </c>
    </row>
    <row r="178" spans="1:16" ht="15" customHeight="1">
      <c r="A178" s="839"/>
      <c r="B178" s="840"/>
      <c r="C178" s="855" t="s">
        <v>115</v>
      </c>
      <c r="D178" s="142">
        <v>11033000</v>
      </c>
      <c r="E178" s="142">
        <f>SUM(P179:P185)</f>
        <v>13148130</v>
      </c>
      <c r="F178" s="986">
        <f>E178-D178</f>
        <v>2115130</v>
      </c>
      <c r="G178" s="914"/>
      <c r="H178" s="825"/>
      <c r="I178" s="826"/>
      <c r="J178" s="877"/>
      <c r="K178" s="826"/>
      <c r="L178" s="825"/>
      <c r="M178" s="544"/>
      <c r="N178" s="878"/>
      <c r="O178" s="878"/>
      <c r="P178" s="115"/>
    </row>
    <row r="179" spans="1:16" ht="15" customHeight="1">
      <c r="A179" s="839"/>
      <c r="B179" s="863"/>
      <c r="C179" s="869"/>
      <c r="D179" s="224"/>
      <c r="E179" s="224"/>
      <c r="F179" s="993"/>
      <c r="G179" s="1256" t="s">
        <v>166</v>
      </c>
      <c r="H179" s="1283">
        <v>100000</v>
      </c>
      <c r="I179" s="1279" t="s">
        <v>29</v>
      </c>
      <c r="J179" s="1286">
        <v>13</v>
      </c>
      <c r="K179" s="1482"/>
      <c r="L179" s="413"/>
      <c r="M179" s="1279" t="s">
        <v>29</v>
      </c>
      <c r="N179" s="1304">
        <v>1</v>
      </c>
      <c r="O179" s="1289" t="s">
        <v>36</v>
      </c>
      <c r="P179" s="1276">
        <f>H179*J179*N179</f>
        <v>1300000</v>
      </c>
    </row>
    <row r="180" spans="1:16" ht="15" customHeight="1">
      <c r="A180" s="839"/>
      <c r="B180" s="863"/>
      <c r="C180" s="869"/>
      <c r="D180" s="224"/>
      <c r="E180" s="224"/>
      <c r="F180" s="993"/>
      <c r="G180" s="1256" t="s">
        <v>214</v>
      </c>
      <c r="H180" s="1283">
        <v>8000</v>
      </c>
      <c r="I180" s="1279" t="s">
        <v>29</v>
      </c>
      <c r="J180" s="1286">
        <v>13</v>
      </c>
      <c r="K180" s="1482" t="s">
        <v>29</v>
      </c>
      <c r="L180" s="466">
        <v>5</v>
      </c>
      <c r="M180" s="1279" t="s">
        <v>29</v>
      </c>
      <c r="N180" s="1289">
        <v>11.6</v>
      </c>
      <c r="O180" s="1289" t="s">
        <v>36</v>
      </c>
      <c r="P180" s="1276">
        <f>H180*J180*L180*N180+8000</f>
        <v>6040000</v>
      </c>
    </row>
    <row r="181" spans="1:16" ht="15" customHeight="1">
      <c r="A181" s="839"/>
      <c r="B181" s="863"/>
      <c r="C181" s="869"/>
      <c r="D181" s="224"/>
      <c r="E181" s="224"/>
      <c r="F181" s="993"/>
      <c r="G181" s="1256" t="s">
        <v>294</v>
      </c>
      <c r="H181" s="1283">
        <v>192000</v>
      </c>
      <c r="I181" s="1279" t="s">
        <v>29</v>
      </c>
      <c r="J181" s="1286">
        <v>13</v>
      </c>
      <c r="K181" s="1482"/>
      <c r="L181" s="466"/>
      <c r="M181" s="1279" t="s">
        <v>29</v>
      </c>
      <c r="N181" s="1289">
        <v>1</v>
      </c>
      <c r="O181" s="1289" t="s">
        <v>36</v>
      </c>
      <c r="P181" s="1276">
        <f>H181*J181*N181+4000</f>
        <v>2500000</v>
      </c>
    </row>
    <row r="182" spans="1:16" ht="15" customHeight="1">
      <c r="A182" s="839"/>
      <c r="B182" s="863"/>
      <c r="C182" s="869"/>
      <c r="D182" s="224"/>
      <c r="E182" s="224"/>
      <c r="F182" s="993"/>
      <c r="G182" s="1256" t="s">
        <v>142</v>
      </c>
      <c r="H182" s="1283">
        <v>50000</v>
      </c>
      <c r="I182" s="1279" t="s">
        <v>29</v>
      </c>
      <c r="J182" s="1286">
        <v>7</v>
      </c>
      <c r="K182" s="1482"/>
      <c r="L182" s="466"/>
      <c r="M182" s="1279" t="s">
        <v>29</v>
      </c>
      <c r="N182" s="1289">
        <v>4</v>
      </c>
      <c r="O182" s="1289" t="s">
        <v>36</v>
      </c>
      <c r="P182" s="1276">
        <f>H182*J182*N182</f>
        <v>1400000</v>
      </c>
    </row>
    <row r="183" spans="1:16" ht="15" customHeight="1">
      <c r="A183" s="839"/>
      <c r="B183" s="863"/>
      <c r="C183" s="869"/>
      <c r="D183" s="224"/>
      <c r="E183" s="224"/>
      <c r="F183" s="993"/>
      <c r="G183" s="1256" t="s">
        <v>350</v>
      </c>
      <c r="H183" s="1283">
        <v>50000</v>
      </c>
      <c r="I183" s="1279" t="s">
        <v>29</v>
      </c>
      <c r="J183" s="1286">
        <v>1</v>
      </c>
      <c r="K183" s="1482"/>
      <c r="L183" s="466"/>
      <c r="M183" s="1279" t="s">
        <v>29</v>
      </c>
      <c r="N183" s="1289">
        <v>4</v>
      </c>
      <c r="O183" s="1289" t="s">
        <v>36</v>
      </c>
      <c r="P183" s="1276">
        <f>H183*J183*N183</f>
        <v>200000</v>
      </c>
    </row>
    <row r="184" spans="1:16" ht="15" customHeight="1">
      <c r="A184" s="839"/>
      <c r="B184" s="863"/>
      <c r="C184" s="869"/>
      <c r="D184" s="224"/>
      <c r="E184" s="224"/>
      <c r="F184" s="993"/>
      <c r="G184" s="1256" t="s">
        <v>351</v>
      </c>
      <c r="H184" s="1283">
        <v>50000</v>
      </c>
      <c r="I184" s="1279" t="s">
        <v>29</v>
      </c>
      <c r="J184" s="1286">
        <v>13</v>
      </c>
      <c r="K184" s="1482"/>
      <c r="L184" s="466"/>
      <c r="M184" s="1279" t="s">
        <v>29</v>
      </c>
      <c r="N184" s="1289">
        <v>1</v>
      </c>
      <c r="O184" s="1289" t="s">
        <v>36</v>
      </c>
      <c r="P184" s="1276">
        <f>H184*J184*N184</f>
        <v>650000</v>
      </c>
    </row>
    <row r="185" spans="1:16" ht="15" customHeight="1">
      <c r="A185" s="839"/>
      <c r="B185" s="863"/>
      <c r="C185" s="869"/>
      <c r="D185" s="224"/>
      <c r="E185" s="224"/>
      <c r="F185" s="993"/>
      <c r="G185" s="1256" t="s">
        <v>352</v>
      </c>
      <c r="H185" s="1283">
        <v>108000</v>
      </c>
      <c r="I185" s="1279" t="s">
        <v>29</v>
      </c>
      <c r="J185" s="1286"/>
      <c r="K185" s="1482"/>
      <c r="L185" s="466"/>
      <c r="M185" s="1279" t="s">
        <v>29</v>
      </c>
      <c r="N185" s="1289">
        <v>9.8000000000000007</v>
      </c>
      <c r="O185" s="1289" t="s">
        <v>353</v>
      </c>
      <c r="P185" s="1276">
        <f>H185*N185-270</f>
        <v>1058130</v>
      </c>
    </row>
    <row r="186" spans="1:16" ht="15" customHeight="1">
      <c r="A186" s="918" t="s">
        <v>122</v>
      </c>
      <c r="B186" s="1591" t="s">
        <v>193</v>
      </c>
      <c r="C186" s="1592"/>
      <c r="D186" s="164">
        <f>D187</f>
        <v>0</v>
      </c>
      <c r="E186" s="164">
        <f>E187</f>
        <v>0</v>
      </c>
      <c r="F186" s="985">
        <f>E186-D186</f>
        <v>0</v>
      </c>
      <c r="G186" s="312"/>
      <c r="H186" s="307"/>
      <c r="I186" s="1484"/>
      <c r="J186" s="308"/>
      <c r="K186" s="1484"/>
      <c r="L186" s="307"/>
      <c r="M186" s="1484"/>
      <c r="N186" s="559"/>
      <c r="O186" s="559"/>
      <c r="P186" s="560"/>
    </row>
    <row r="187" spans="1:16" ht="15" customHeight="1">
      <c r="A187" s="392"/>
      <c r="B187" s="361" t="s">
        <v>182</v>
      </c>
      <c r="C187" s="393" t="s">
        <v>193</v>
      </c>
      <c r="D187" s="239">
        <f>SUM(D188:D189)</f>
        <v>0</v>
      </c>
      <c r="E187" s="239">
        <f>SUM(E188:E189)</f>
        <v>0</v>
      </c>
      <c r="F187" s="986">
        <f>E187-D187</f>
        <v>0</v>
      </c>
      <c r="G187" s="394"/>
      <c r="H187" s="1302"/>
      <c r="I187" s="1483"/>
      <c r="J187" s="1302"/>
      <c r="K187" s="1484"/>
      <c r="L187" s="307"/>
      <c r="M187" s="1484"/>
      <c r="N187" s="395"/>
      <c r="O187" s="559"/>
      <c r="P187" s="396"/>
    </row>
    <row r="188" spans="1:16" ht="15" customHeight="1">
      <c r="A188" s="397"/>
      <c r="B188" s="439"/>
      <c r="C188" s="919" t="s">
        <v>140</v>
      </c>
      <c r="D188" s="324">
        <v>0</v>
      </c>
      <c r="E188" s="324">
        <v>0</v>
      </c>
      <c r="F188" s="986">
        <f>E188-D188</f>
        <v>0</v>
      </c>
      <c r="G188" s="341"/>
      <c r="H188" s="307"/>
      <c r="I188" s="544"/>
      <c r="J188" s="544"/>
      <c r="K188" s="1484"/>
      <c r="L188" s="307"/>
      <c r="M188" s="1484"/>
      <c r="N188" s="398"/>
      <c r="O188" s="559"/>
      <c r="P188" s="560"/>
    </row>
    <row r="189" spans="1:16" ht="15" customHeight="1">
      <c r="A189" s="397"/>
      <c r="B189" s="920"/>
      <c r="C189" s="919" t="s">
        <v>126</v>
      </c>
      <c r="D189" s="1026">
        <v>0</v>
      </c>
      <c r="E189" s="324">
        <f>P190</f>
        <v>0</v>
      </c>
      <c r="F189" s="986">
        <f>E189-D189</f>
        <v>0</v>
      </c>
      <c r="G189" s="341"/>
      <c r="H189" s="307"/>
      <c r="I189" s="544"/>
      <c r="J189" s="456"/>
      <c r="K189" s="544"/>
      <c r="L189" s="457"/>
      <c r="M189" s="544"/>
      <c r="N189" s="559"/>
      <c r="O189" s="559"/>
      <c r="P189" s="403"/>
    </row>
    <row r="190" spans="1:16" ht="15" customHeight="1">
      <c r="A190" s="397"/>
      <c r="B190" s="920"/>
      <c r="C190" s="919"/>
      <c r="D190" s="1026"/>
      <c r="E190" s="324"/>
      <c r="F190" s="986"/>
      <c r="G190" s="341"/>
      <c r="H190" s="307"/>
      <c r="I190" s="544"/>
      <c r="J190" s="456"/>
      <c r="K190" s="544"/>
      <c r="L190" s="457"/>
      <c r="M190" s="544"/>
      <c r="N190" s="559"/>
      <c r="O190" s="559"/>
      <c r="P190" s="403"/>
    </row>
    <row r="191" spans="1:16" ht="15" customHeight="1">
      <c r="A191" s="921" t="s">
        <v>227</v>
      </c>
      <c r="B191" s="1591" t="s">
        <v>193</v>
      </c>
      <c r="C191" s="1592"/>
      <c r="D191" s="922">
        <f>SUM(D192)</f>
        <v>579020000</v>
      </c>
      <c r="E191" s="922">
        <f>SUM(E192)</f>
        <v>636145456</v>
      </c>
      <c r="F191" s="999">
        <f>E191-D191</f>
        <v>57125456</v>
      </c>
      <c r="G191" s="341"/>
      <c r="H191" s="307"/>
      <c r="I191" s="544"/>
      <c r="J191" s="342"/>
      <c r="K191" s="1484"/>
      <c r="L191" s="307"/>
      <c r="M191" s="1484"/>
      <c r="N191" s="559"/>
      <c r="O191" s="559"/>
      <c r="P191" s="560"/>
    </row>
    <row r="192" spans="1:16" ht="15" customHeight="1">
      <c r="A192" s="404"/>
      <c r="B192" s="351" t="s">
        <v>221</v>
      </c>
      <c r="C192" s="362" t="s">
        <v>189</v>
      </c>
      <c r="D192" s="365">
        <f>SUM(D193:D232)</f>
        <v>579020000</v>
      </c>
      <c r="E192" s="365">
        <f>SUM(E193:E232)</f>
        <v>636145456</v>
      </c>
      <c r="F192" s="1000">
        <f>E192-D192</f>
        <v>57125456</v>
      </c>
      <c r="G192" s="1030"/>
      <c r="H192" s="1030"/>
      <c r="I192" s="1030"/>
      <c r="J192" s="1030"/>
      <c r="K192" s="1030"/>
      <c r="L192" s="1030"/>
      <c r="M192" s="1030"/>
      <c r="N192" s="1030"/>
      <c r="O192" s="1030"/>
      <c r="P192" s="1408"/>
    </row>
    <row r="193" spans="1:17" ht="15" customHeight="1">
      <c r="A193" s="360"/>
      <c r="B193" s="438"/>
      <c r="C193" s="1416" t="s">
        <v>368</v>
      </c>
      <c r="D193" s="923">
        <v>473672700</v>
      </c>
      <c r="E193" s="923">
        <f>SUM(P194,P196,P197,P200,P206,P209,P211,P216,P218,P223,P224)</f>
        <v>513496176</v>
      </c>
      <c r="F193" s="986">
        <f>E193-D193</f>
        <v>39823476</v>
      </c>
      <c r="G193" s="924"/>
      <c r="H193" s="543"/>
      <c r="I193" s="1030"/>
      <c r="J193" s="1030"/>
      <c r="K193" s="1030"/>
      <c r="L193" s="1030"/>
      <c r="M193" s="461"/>
      <c r="N193" s="925"/>
      <c r="O193" s="559"/>
      <c r="P193" s="396"/>
    </row>
    <row r="194" spans="1:17" ht="15" customHeight="1">
      <c r="A194" s="360"/>
      <c r="B194" s="438"/>
      <c r="C194" s="438"/>
      <c r="D194" s="424"/>
      <c r="E194" s="424"/>
      <c r="F194" s="1001"/>
      <c r="G194" s="541" t="s">
        <v>358</v>
      </c>
      <c r="H194" s="592">
        <v>10000</v>
      </c>
      <c r="I194" s="1279" t="s">
        <v>29</v>
      </c>
      <c r="J194" s="601">
        <v>40</v>
      </c>
      <c r="K194" s="1279"/>
      <c r="L194" s="1409"/>
      <c r="M194" s="1279" t="s">
        <v>29</v>
      </c>
      <c r="N194" s="599">
        <v>3</v>
      </c>
      <c r="O194" s="155" t="s">
        <v>36</v>
      </c>
      <c r="P194" s="602">
        <f>H194*J194*N194</f>
        <v>1200000</v>
      </c>
    </row>
    <row r="195" spans="1:17" ht="15" customHeight="1">
      <c r="A195" s="360"/>
      <c r="B195" s="438"/>
      <c r="C195" s="438"/>
      <c r="D195" s="424"/>
      <c r="E195" s="424"/>
      <c r="F195" s="1001"/>
      <c r="G195" s="146" t="s">
        <v>238</v>
      </c>
      <c r="H195" s="592"/>
      <c r="I195" s="592"/>
      <c r="J195" s="153"/>
      <c r="K195" s="153"/>
      <c r="L195" s="1410"/>
      <c r="M195" s="153"/>
      <c r="N195" s="600"/>
      <c r="O195" s="155"/>
      <c r="P195" s="118">
        <f>SUM(P196,P197,P200,P206,P209,P211,P216,P218,P223:P223)</f>
        <v>469636050</v>
      </c>
    </row>
    <row r="196" spans="1:17" ht="15" customHeight="1">
      <c r="A196" s="360"/>
      <c r="B196" s="438"/>
      <c r="C196" s="438"/>
      <c r="D196" s="424"/>
      <c r="E196" s="424"/>
      <c r="F196" s="1001"/>
      <c r="G196" s="150" t="s">
        <v>359</v>
      </c>
      <c r="H196" s="597">
        <v>250000</v>
      </c>
      <c r="I196" s="1279" t="s">
        <v>29</v>
      </c>
      <c r="J196" s="581"/>
      <c r="K196" s="1279"/>
      <c r="L196" s="1411">
        <v>3</v>
      </c>
      <c r="M196" s="1279" t="s">
        <v>29</v>
      </c>
      <c r="N196" s="917">
        <v>8</v>
      </c>
      <c r="O196" s="600" t="s">
        <v>36</v>
      </c>
      <c r="P196" s="927">
        <f>H196*L196*N196</f>
        <v>6000000</v>
      </c>
      <c r="Q196" s="582"/>
    </row>
    <row r="197" spans="1:17" ht="15" customHeight="1">
      <c r="A197" s="360"/>
      <c r="B197" s="438"/>
      <c r="C197" s="438"/>
      <c r="D197" s="424"/>
      <c r="E197" s="424"/>
      <c r="F197" s="1001"/>
      <c r="G197" s="150" t="s">
        <v>360</v>
      </c>
      <c r="H197" s="926"/>
      <c r="I197" s="1279"/>
      <c r="J197" s="581"/>
      <c r="K197" s="1279"/>
      <c r="L197" s="1409"/>
      <c r="M197" s="1279"/>
      <c r="N197" s="599"/>
      <c r="O197" s="600"/>
      <c r="P197" s="602">
        <f>SUM(P198:P199)</f>
        <v>43500000</v>
      </c>
    </row>
    <row r="198" spans="1:17" ht="15" customHeight="1">
      <c r="A198" s="360"/>
      <c r="B198" s="438"/>
      <c r="C198" s="438"/>
      <c r="D198" s="424"/>
      <c r="E198" s="424"/>
      <c r="F198" s="1001"/>
      <c r="G198" s="150" t="s">
        <v>165</v>
      </c>
      <c r="H198" s="926">
        <v>1000000</v>
      </c>
      <c r="I198" s="1279" t="s">
        <v>29</v>
      </c>
      <c r="J198" s="581"/>
      <c r="K198" s="1279"/>
      <c r="L198" s="1409">
        <v>40</v>
      </c>
      <c r="M198" s="1279" t="s">
        <v>29</v>
      </c>
      <c r="N198" s="599">
        <v>1</v>
      </c>
      <c r="O198" s="600" t="s">
        <v>36</v>
      </c>
      <c r="P198" s="603">
        <f>H198*L198*N198</f>
        <v>40000000</v>
      </c>
      <c r="Q198" s="582"/>
    </row>
    <row r="199" spans="1:17" ht="15" customHeight="1">
      <c r="A199" s="928"/>
      <c r="B199" s="929"/>
      <c r="C199" s="929"/>
      <c r="D199" s="930"/>
      <c r="E199" s="930"/>
      <c r="F199" s="1002"/>
      <c r="G199" s="150" t="s">
        <v>169</v>
      </c>
      <c r="H199" s="592">
        <v>35000</v>
      </c>
      <c r="I199" s="1279" t="s">
        <v>29</v>
      </c>
      <c r="J199" s="581"/>
      <c r="K199" s="1279"/>
      <c r="L199" s="1409">
        <v>10</v>
      </c>
      <c r="M199" s="1279" t="s">
        <v>29</v>
      </c>
      <c r="N199" s="599">
        <v>10</v>
      </c>
      <c r="O199" s="600" t="s">
        <v>36</v>
      </c>
      <c r="P199" s="603">
        <f>H199*L199*N199</f>
        <v>3500000</v>
      </c>
    </row>
    <row r="200" spans="1:17" ht="15" customHeight="1">
      <c r="A200" s="928"/>
      <c r="B200" s="929"/>
      <c r="C200" s="931"/>
      <c r="D200" s="930"/>
      <c r="E200" s="930"/>
      <c r="F200" s="1002"/>
      <c r="G200" s="150" t="s">
        <v>361</v>
      </c>
      <c r="H200" s="592"/>
      <c r="I200" s="1279"/>
      <c r="J200" s="581"/>
      <c r="K200" s="1279"/>
      <c r="L200" s="1409"/>
      <c r="M200" s="1279"/>
      <c r="N200" s="599"/>
      <c r="O200" s="600"/>
      <c r="P200" s="602">
        <f>SUM(P201:P205)</f>
        <v>277294500</v>
      </c>
      <c r="Q200" s="582"/>
    </row>
    <row r="201" spans="1:17" ht="15" customHeight="1">
      <c r="A201" s="928"/>
      <c r="B201" s="929"/>
      <c r="C201" s="931"/>
      <c r="D201" s="930"/>
      <c r="E201" s="930"/>
      <c r="F201" s="1002"/>
      <c r="G201" s="150" t="s">
        <v>173</v>
      </c>
      <c r="H201" s="592">
        <v>1000000</v>
      </c>
      <c r="I201" s="1279" t="s">
        <v>29</v>
      </c>
      <c r="J201" s="581"/>
      <c r="K201" s="1279"/>
      <c r="L201" s="1409">
        <v>40</v>
      </c>
      <c r="M201" s="1279" t="s">
        <v>29</v>
      </c>
      <c r="N201" s="917">
        <v>1</v>
      </c>
      <c r="O201" s="600" t="s">
        <v>36</v>
      </c>
      <c r="P201" s="603">
        <f>H201*L201*N201</f>
        <v>40000000</v>
      </c>
      <c r="Q201" s="582"/>
    </row>
    <row r="202" spans="1:17" ht="15" customHeight="1">
      <c r="A202" s="928"/>
      <c r="B202" s="929"/>
      <c r="C202" s="931"/>
      <c r="D202" s="930"/>
      <c r="E202" s="930"/>
      <c r="F202" s="1002"/>
      <c r="G202" s="541" t="s">
        <v>157</v>
      </c>
      <c r="H202" s="592">
        <v>200000</v>
      </c>
      <c r="I202" s="1279" t="s">
        <v>29</v>
      </c>
      <c r="J202" s="581"/>
      <c r="K202" s="1279"/>
      <c r="L202" s="1409">
        <v>100</v>
      </c>
      <c r="M202" s="1279" t="s">
        <v>29</v>
      </c>
      <c r="N202" s="917">
        <v>5</v>
      </c>
      <c r="O202" s="600" t="s">
        <v>36</v>
      </c>
      <c r="P202" s="603">
        <f>H202*L202*N202</f>
        <v>100000000</v>
      </c>
    </row>
    <row r="203" spans="1:17" ht="15" customHeight="1">
      <c r="A203" s="928"/>
      <c r="B203" s="929"/>
      <c r="C203" s="931"/>
      <c r="D203" s="930"/>
      <c r="E203" s="930"/>
      <c r="F203" s="1002"/>
      <c r="G203" s="541" t="s">
        <v>154</v>
      </c>
      <c r="H203" s="592">
        <v>600000</v>
      </c>
      <c r="I203" s="1279" t="s">
        <v>29</v>
      </c>
      <c r="J203" s="581"/>
      <c r="K203" s="1279"/>
      <c r="L203" s="1409">
        <v>30</v>
      </c>
      <c r="M203" s="1279" t="s">
        <v>29</v>
      </c>
      <c r="N203" s="599">
        <v>1</v>
      </c>
      <c r="O203" s="600" t="s">
        <v>36</v>
      </c>
      <c r="P203" s="603">
        <f>H203*L203*N203</f>
        <v>18000000</v>
      </c>
      <c r="Q203" s="582"/>
    </row>
    <row r="204" spans="1:17" ht="15" customHeight="1">
      <c r="A204" s="928"/>
      <c r="B204" s="929"/>
      <c r="C204" s="931"/>
      <c r="D204" s="930"/>
      <c r="E204" s="930"/>
      <c r="F204" s="1002"/>
      <c r="G204" s="541" t="s">
        <v>64</v>
      </c>
      <c r="H204" s="592">
        <v>948130</v>
      </c>
      <c r="I204" s="1279" t="s">
        <v>29</v>
      </c>
      <c r="J204" s="581"/>
      <c r="K204" s="1279"/>
      <c r="L204" s="1409">
        <v>110</v>
      </c>
      <c r="M204" s="1279" t="s">
        <v>29</v>
      </c>
      <c r="N204" s="599">
        <v>1</v>
      </c>
      <c r="O204" s="600" t="s">
        <v>36</v>
      </c>
      <c r="P204" s="603">
        <f>H204*L204*N204+200</f>
        <v>104294500</v>
      </c>
      <c r="Q204" s="582"/>
    </row>
    <row r="205" spans="1:17" ht="15" customHeight="1">
      <c r="A205" s="928"/>
      <c r="B205" s="929"/>
      <c r="C205" s="931"/>
      <c r="D205" s="930"/>
      <c r="E205" s="930"/>
      <c r="F205" s="1002"/>
      <c r="G205" s="541" t="s">
        <v>144</v>
      </c>
      <c r="H205" s="592">
        <v>1000000</v>
      </c>
      <c r="I205" s="1279" t="s">
        <v>29</v>
      </c>
      <c r="J205" s="581"/>
      <c r="K205" s="1279"/>
      <c r="L205" s="1409">
        <v>15</v>
      </c>
      <c r="M205" s="1279" t="s">
        <v>29</v>
      </c>
      <c r="N205" s="599">
        <v>1</v>
      </c>
      <c r="O205" s="600" t="s">
        <v>36</v>
      </c>
      <c r="P205" s="603">
        <f>H205*L205*N205</f>
        <v>15000000</v>
      </c>
      <c r="Q205" s="582"/>
    </row>
    <row r="206" spans="1:17" ht="15" customHeight="1">
      <c r="A206" s="928"/>
      <c r="B206" s="929"/>
      <c r="C206" s="931"/>
      <c r="D206" s="930"/>
      <c r="E206" s="930"/>
      <c r="F206" s="1002"/>
      <c r="G206" s="541" t="s">
        <v>362</v>
      </c>
      <c r="H206" s="592"/>
      <c r="I206" s="1279"/>
      <c r="J206" s="581"/>
      <c r="K206" s="1279"/>
      <c r="L206" s="1409"/>
      <c r="M206" s="1279"/>
      <c r="N206" s="599"/>
      <c r="O206" s="600"/>
      <c r="P206" s="602">
        <f>SUM(P207:P208)</f>
        <v>12000000</v>
      </c>
      <c r="Q206" s="582"/>
    </row>
    <row r="207" spans="1:17" ht="15" customHeight="1">
      <c r="A207" s="928"/>
      <c r="B207" s="929"/>
      <c r="C207" s="931"/>
      <c r="D207" s="930"/>
      <c r="E207" s="930"/>
      <c r="F207" s="1002"/>
      <c r="G207" s="541" t="s">
        <v>20</v>
      </c>
      <c r="H207" s="592">
        <v>150000</v>
      </c>
      <c r="I207" s="1279" t="s">
        <v>29</v>
      </c>
      <c r="J207" s="581"/>
      <c r="K207" s="1279"/>
      <c r="L207" s="1412">
        <v>8</v>
      </c>
      <c r="M207" s="1279" t="s">
        <v>29</v>
      </c>
      <c r="N207" s="917">
        <v>5</v>
      </c>
      <c r="O207" s="600" t="s">
        <v>36</v>
      </c>
      <c r="P207" s="603">
        <f>H207*L207*N207</f>
        <v>6000000</v>
      </c>
      <c r="Q207" s="582"/>
    </row>
    <row r="208" spans="1:17" ht="15" customHeight="1">
      <c r="A208" s="928"/>
      <c r="B208" s="929"/>
      <c r="C208" s="931"/>
      <c r="D208" s="930"/>
      <c r="E208" s="930"/>
      <c r="F208" s="1002"/>
      <c r="G208" s="541" t="s">
        <v>181</v>
      </c>
      <c r="H208" s="592">
        <v>200000</v>
      </c>
      <c r="I208" s="1279" t="s">
        <v>29</v>
      </c>
      <c r="J208" s="581"/>
      <c r="K208" s="1279"/>
      <c r="L208" s="1409">
        <v>30</v>
      </c>
      <c r="M208" s="1279" t="s">
        <v>29</v>
      </c>
      <c r="N208" s="599">
        <v>1</v>
      </c>
      <c r="O208" s="600" t="s">
        <v>36</v>
      </c>
      <c r="P208" s="603">
        <f>H208*L208*N208</f>
        <v>6000000</v>
      </c>
      <c r="Q208" s="582"/>
    </row>
    <row r="209" spans="1:18" ht="15" customHeight="1">
      <c r="A209" s="928"/>
      <c r="B209" s="929"/>
      <c r="C209" s="931"/>
      <c r="D209" s="930"/>
      <c r="E209" s="930"/>
      <c r="F209" s="1002"/>
      <c r="G209" s="541" t="s">
        <v>363</v>
      </c>
      <c r="H209" s="592"/>
      <c r="I209" s="1279"/>
      <c r="J209" s="581"/>
      <c r="K209" s="1279"/>
      <c r="L209" s="1409"/>
      <c r="M209" s="1279"/>
      <c r="N209" s="599"/>
      <c r="O209" s="600"/>
      <c r="P209" s="602">
        <f>SUM(P210)</f>
        <v>1267200</v>
      </c>
      <c r="Q209" s="582"/>
    </row>
    <row r="210" spans="1:18" ht="15" customHeight="1">
      <c r="A210" s="928"/>
      <c r="B210" s="929"/>
      <c r="C210" s="931"/>
      <c r="D210" s="930"/>
      <c r="E210" s="930"/>
      <c r="F210" s="1002"/>
      <c r="G210" s="541" t="s">
        <v>167</v>
      </c>
      <c r="H210" s="592">
        <v>13200</v>
      </c>
      <c r="I210" s="1279" t="s">
        <v>29</v>
      </c>
      <c r="J210" s="581"/>
      <c r="K210" s="1279"/>
      <c r="L210" s="1409">
        <v>8</v>
      </c>
      <c r="M210" s="1279" t="s">
        <v>29</v>
      </c>
      <c r="N210" s="917">
        <v>12</v>
      </c>
      <c r="O210" s="600" t="s">
        <v>36</v>
      </c>
      <c r="P210" s="603">
        <f>H210*L210*N210</f>
        <v>1267200</v>
      </c>
      <c r="Q210" s="582"/>
    </row>
    <row r="211" spans="1:18" ht="15" customHeight="1">
      <c r="A211" s="928"/>
      <c r="B211" s="929"/>
      <c r="C211" s="931"/>
      <c r="D211" s="930"/>
      <c r="E211" s="930"/>
      <c r="F211" s="1002"/>
      <c r="G211" s="541" t="s">
        <v>364</v>
      </c>
      <c r="H211" s="592"/>
      <c r="I211" s="1279"/>
      <c r="J211" s="581"/>
      <c r="K211" s="1279"/>
      <c r="L211" s="1409"/>
      <c r="M211" s="1279"/>
      <c r="N211" s="599"/>
      <c r="O211" s="600"/>
      <c r="P211" s="602">
        <f>SUM(P212:P215)</f>
        <v>94334350</v>
      </c>
      <c r="Q211" s="582"/>
    </row>
    <row r="212" spans="1:18" ht="15" customHeight="1">
      <c r="A212" s="928"/>
      <c r="B212" s="929"/>
      <c r="C212" s="931"/>
      <c r="D212" s="930"/>
      <c r="E212" s="930"/>
      <c r="F212" s="1002"/>
      <c r="G212" s="541" t="s">
        <v>275</v>
      </c>
      <c r="H212" s="592">
        <v>240000</v>
      </c>
      <c r="I212" s="1279" t="s">
        <v>29</v>
      </c>
      <c r="J212" s="581"/>
      <c r="K212" s="1279"/>
      <c r="L212" s="601">
        <v>16</v>
      </c>
      <c r="M212" s="1279" t="s">
        <v>29</v>
      </c>
      <c r="N212" s="599">
        <v>12</v>
      </c>
      <c r="O212" s="600" t="s">
        <v>36</v>
      </c>
      <c r="P212" s="603">
        <f>H212*L212*N212+284350</f>
        <v>46364350</v>
      </c>
      <c r="Q212" s="582"/>
    </row>
    <row r="213" spans="1:18" ht="15" customHeight="1">
      <c r="A213" s="928"/>
      <c r="B213" s="929"/>
      <c r="C213" s="931"/>
      <c r="D213" s="930"/>
      <c r="E213" s="930"/>
      <c r="F213" s="1002"/>
      <c r="G213" s="541" t="s">
        <v>162</v>
      </c>
      <c r="H213" s="592">
        <v>25000</v>
      </c>
      <c r="I213" s="1279" t="s">
        <v>29</v>
      </c>
      <c r="J213" s="581"/>
      <c r="K213" s="1279"/>
      <c r="L213" s="1409">
        <v>75</v>
      </c>
      <c r="M213" s="1279" t="s">
        <v>29</v>
      </c>
      <c r="N213" s="599">
        <v>12</v>
      </c>
      <c r="O213" s="600" t="s">
        <v>36</v>
      </c>
      <c r="P213" s="603">
        <f>H213*L213*N213</f>
        <v>22500000</v>
      </c>
    </row>
    <row r="214" spans="1:18" ht="15" customHeight="1">
      <c r="A214" s="928"/>
      <c r="B214" s="929"/>
      <c r="C214" s="931"/>
      <c r="D214" s="930"/>
      <c r="E214" s="930"/>
      <c r="F214" s="1002"/>
      <c r="G214" s="541" t="s">
        <v>288</v>
      </c>
      <c r="H214" s="592">
        <v>30000</v>
      </c>
      <c r="I214" s="1279" t="s">
        <v>29</v>
      </c>
      <c r="J214" s="581"/>
      <c r="K214" s="1279"/>
      <c r="L214" s="1409">
        <v>30</v>
      </c>
      <c r="M214" s="1279" t="s">
        <v>29</v>
      </c>
      <c r="N214" s="917">
        <v>12</v>
      </c>
      <c r="O214" s="600" t="s">
        <v>36</v>
      </c>
      <c r="P214" s="603">
        <f>H214*L214*N214+5470000</f>
        <v>16270000</v>
      </c>
    </row>
    <row r="215" spans="1:18" ht="15" customHeight="1">
      <c r="A215" s="928"/>
      <c r="B215" s="929"/>
      <c r="C215" s="931"/>
      <c r="D215" s="930"/>
      <c r="E215" s="930"/>
      <c r="F215" s="1002"/>
      <c r="G215" s="541" t="s">
        <v>280</v>
      </c>
      <c r="H215" s="592">
        <v>92000</v>
      </c>
      <c r="I215" s="1279" t="s">
        <v>29</v>
      </c>
      <c r="J215" s="581"/>
      <c r="K215" s="1279"/>
      <c r="L215" s="1409">
        <v>25</v>
      </c>
      <c r="M215" s="1279" t="s">
        <v>29</v>
      </c>
      <c r="N215" s="599">
        <v>4</v>
      </c>
      <c r="O215" s="600" t="s">
        <v>36</v>
      </c>
      <c r="P215" s="603">
        <f>H215*L215*N215</f>
        <v>9200000</v>
      </c>
    </row>
    <row r="216" spans="1:18" ht="15" customHeight="1">
      <c r="A216" s="928"/>
      <c r="B216" s="929"/>
      <c r="C216" s="931"/>
      <c r="D216" s="930"/>
      <c r="E216" s="930"/>
      <c r="F216" s="1002"/>
      <c r="G216" s="150" t="s">
        <v>365</v>
      </c>
      <c r="H216" s="592"/>
      <c r="I216" s="1279"/>
      <c r="J216" s="581"/>
      <c r="K216" s="1279"/>
      <c r="L216" s="1409"/>
      <c r="M216" s="1279"/>
      <c r="N216" s="599"/>
      <c r="O216" s="600"/>
      <c r="P216" s="602">
        <f>SUM(P217:P217)</f>
        <v>20600000</v>
      </c>
      <c r="Q216" s="582"/>
    </row>
    <row r="217" spans="1:18" ht="15" customHeight="1">
      <c r="A217" s="928"/>
      <c r="B217" s="929"/>
      <c r="C217" s="931"/>
      <c r="D217" s="930"/>
      <c r="E217" s="930"/>
      <c r="F217" s="1002"/>
      <c r="G217" s="541" t="s">
        <v>147</v>
      </c>
      <c r="H217" s="592">
        <v>172000</v>
      </c>
      <c r="I217" s="1279" t="s">
        <v>29</v>
      </c>
      <c r="J217" s="581"/>
      <c r="K217" s="1279"/>
      <c r="L217" s="1413">
        <v>10</v>
      </c>
      <c r="M217" s="1279" t="s">
        <v>29</v>
      </c>
      <c r="N217" s="917">
        <v>12</v>
      </c>
      <c r="O217" s="600" t="s">
        <v>36</v>
      </c>
      <c r="P217" s="603">
        <f>H217*L217*N217-40000</f>
        <v>20600000</v>
      </c>
      <c r="Q217" s="582"/>
      <c r="R217" s="1396"/>
    </row>
    <row r="218" spans="1:18" ht="15" customHeight="1">
      <c r="A218" s="928"/>
      <c r="B218" s="929"/>
      <c r="C218" s="931"/>
      <c r="D218" s="930"/>
      <c r="E218" s="930"/>
      <c r="F218" s="1002"/>
      <c r="G218" s="541" t="s">
        <v>366</v>
      </c>
      <c r="H218" s="592"/>
      <c r="I218" s="1279"/>
      <c r="J218" s="581"/>
      <c r="K218" s="1279"/>
      <c r="L218" s="1409"/>
      <c r="M218" s="1279"/>
      <c r="N218" s="599"/>
      <c r="O218" s="600"/>
      <c r="P218" s="602">
        <f>SUM(P219:P222)</f>
        <v>14400000</v>
      </c>
      <c r="R218" s="1396"/>
    </row>
    <row r="219" spans="1:18" ht="15" customHeight="1">
      <c r="A219" s="928"/>
      <c r="B219" s="929"/>
      <c r="C219" s="931"/>
      <c r="D219" s="930"/>
      <c r="E219" s="930"/>
      <c r="F219" s="1002"/>
      <c r="G219" s="541" t="s">
        <v>163</v>
      </c>
      <c r="H219" s="592">
        <v>1000000</v>
      </c>
      <c r="I219" s="1279" t="s">
        <v>29</v>
      </c>
      <c r="J219" s="581"/>
      <c r="K219" s="1279"/>
      <c r="L219" s="1409">
        <v>3</v>
      </c>
      <c r="M219" s="1279" t="s">
        <v>29</v>
      </c>
      <c r="N219" s="599">
        <v>1</v>
      </c>
      <c r="O219" s="600" t="s">
        <v>36</v>
      </c>
      <c r="P219" s="603">
        <f>H219*L219*N219</f>
        <v>3000000</v>
      </c>
      <c r="Q219" s="582"/>
    </row>
    <row r="220" spans="1:18" ht="15" customHeight="1">
      <c r="A220" s="360"/>
      <c r="B220" s="438"/>
      <c r="C220" s="932"/>
      <c r="D220" s="330"/>
      <c r="E220" s="330"/>
      <c r="F220" s="987"/>
      <c r="G220" s="541" t="s">
        <v>274</v>
      </c>
      <c r="H220" s="592">
        <v>100000</v>
      </c>
      <c r="I220" s="1279" t="s">
        <v>29</v>
      </c>
      <c r="J220" s="581"/>
      <c r="K220" s="1279"/>
      <c r="L220" s="1409">
        <v>6</v>
      </c>
      <c r="M220" s="1279" t="s">
        <v>29</v>
      </c>
      <c r="N220" s="599">
        <v>1</v>
      </c>
      <c r="O220" s="600" t="s">
        <v>36</v>
      </c>
      <c r="P220" s="603">
        <f>H220*L220*N220</f>
        <v>600000</v>
      </c>
    </row>
    <row r="221" spans="1:18" ht="15" customHeight="1">
      <c r="A221" s="360"/>
      <c r="B221" s="438"/>
      <c r="C221" s="438"/>
      <c r="D221" s="424"/>
      <c r="E221" s="424"/>
      <c r="F221" s="1001"/>
      <c r="G221" s="541" t="s">
        <v>287</v>
      </c>
      <c r="H221" s="592">
        <v>160000</v>
      </c>
      <c r="I221" s="1279" t="s">
        <v>29</v>
      </c>
      <c r="J221" s="581"/>
      <c r="K221" s="1279"/>
      <c r="L221" s="1412">
        <v>30</v>
      </c>
      <c r="M221" s="1279" t="s">
        <v>29</v>
      </c>
      <c r="N221" s="599">
        <v>1</v>
      </c>
      <c r="O221" s="600" t="s">
        <v>36</v>
      </c>
      <c r="P221" s="603">
        <f>H221*L221</f>
        <v>4800000</v>
      </c>
      <c r="Q221" s="582"/>
    </row>
    <row r="222" spans="1:18" ht="15" customHeight="1">
      <c r="A222" s="360"/>
      <c r="B222" s="438"/>
      <c r="C222" s="438"/>
      <c r="D222" s="424"/>
      <c r="E222" s="424"/>
      <c r="F222" s="1001"/>
      <c r="G222" s="541" t="s">
        <v>295</v>
      </c>
      <c r="H222" s="592">
        <v>400000</v>
      </c>
      <c r="I222" s="1279" t="s">
        <v>29</v>
      </c>
      <c r="J222" s="581"/>
      <c r="K222" s="1279"/>
      <c r="L222" s="1409">
        <v>15</v>
      </c>
      <c r="M222" s="1279" t="s">
        <v>29</v>
      </c>
      <c r="N222" s="599">
        <v>1</v>
      </c>
      <c r="O222" s="600" t="s">
        <v>36</v>
      </c>
      <c r="P222" s="151">
        <f>H222*L222*N222</f>
        <v>6000000</v>
      </c>
      <c r="Q222" s="582"/>
    </row>
    <row r="223" spans="1:18" ht="15" customHeight="1">
      <c r="A223" s="360"/>
      <c r="B223" s="438"/>
      <c r="C223" s="438"/>
      <c r="D223" s="424"/>
      <c r="E223" s="424"/>
      <c r="F223" s="1001"/>
      <c r="G223" s="150" t="s">
        <v>367</v>
      </c>
      <c r="H223" s="592">
        <v>40000</v>
      </c>
      <c r="I223" s="1279" t="s">
        <v>29</v>
      </c>
      <c r="J223" s="581"/>
      <c r="K223" s="1279"/>
      <c r="L223" s="1409">
        <v>6</v>
      </c>
      <c r="M223" s="1279" t="s">
        <v>29</v>
      </c>
      <c r="N223" s="599">
        <v>1</v>
      </c>
      <c r="O223" s="600" t="s">
        <v>36</v>
      </c>
      <c r="P223" s="602">
        <f>H223*L223*N223</f>
        <v>240000</v>
      </c>
      <c r="Q223" s="582"/>
    </row>
    <row r="224" spans="1:18" ht="15" customHeight="1">
      <c r="A224" s="360"/>
      <c r="B224" s="438"/>
      <c r="C224" s="438"/>
      <c r="D224" s="424"/>
      <c r="E224" s="424"/>
      <c r="F224" s="1001"/>
      <c r="G224" s="591" t="s">
        <v>174</v>
      </c>
      <c r="H224" s="592">
        <v>7110021</v>
      </c>
      <c r="I224" s="593" t="s">
        <v>29</v>
      </c>
      <c r="J224" s="581"/>
      <c r="K224" s="593"/>
      <c r="L224" s="1414">
        <v>6</v>
      </c>
      <c r="M224" s="1279" t="s">
        <v>29</v>
      </c>
      <c r="N224" s="586">
        <v>1</v>
      </c>
      <c r="O224" s="1279" t="s">
        <v>36</v>
      </c>
      <c r="P224" s="587">
        <f>H224*L224*N224</f>
        <v>42660126</v>
      </c>
      <c r="Q224" s="582"/>
    </row>
    <row r="225" spans="1:17" ht="15" customHeight="1">
      <c r="A225" s="928"/>
      <c r="B225" s="929"/>
      <c r="C225" s="935" t="s">
        <v>132</v>
      </c>
      <c r="D225" s="142">
        <v>105347300</v>
      </c>
      <c r="E225" s="142">
        <f>SUM(P226:P232)</f>
        <v>122649280</v>
      </c>
      <c r="F225" s="1004">
        <f>E225-D225</f>
        <v>17301980</v>
      </c>
      <c r="G225" s="212"/>
      <c r="H225" s="198"/>
      <c r="I225" s="199"/>
      <c r="J225" s="199"/>
      <c r="K225" s="199"/>
      <c r="L225" s="936"/>
      <c r="M225" s="214"/>
      <c r="N225" s="937"/>
      <c r="O225" s="1239"/>
      <c r="P225" s="938"/>
    </row>
    <row r="226" spans="1:17" ht="15" customHeight="1">
      <c r="A226" s="928"/>
      <c r="B226" s="929"/>
      <c r="C226" s="933"/>
      <c r="D226" s="934"/>
      <c r="E226" s="934"/>
      <c r="F226" s="1003"/>
      <c r="G226" s="1284" t="s">
        <v>9</v>
      </c>
      <c r="H226" s="1283">
        <v>8000</v>
      </c>
      <c r="I226" s="1279" t="s">
        <v>29</v>
      </c>
      <c r="J226" s="581"/>
      <c r="K226" s="1281"/>
      <c r="L226" s="1286">
        <v>35</v>
      </c>
      <c r="M226" s="1279" t="s">
        <v>29</v>
      </c>
      <c r="N226" s="1285">
        <v>4</v>
      </c>
      <c r="O226" s="1277" t="s">
        <v>36</v>
      </c>
      <c r="P226" s="1276">
        <f>H226*L226*N226</f>
        <v>1120000</v>
      </c>
    </row>
    <row r="227" spans="1:17" ht="15" customHeight="1">
      <c r="A227" s="928"/>
      <c r="B227" s="929"/>
      <c r="C227" s="933"/>
      <c r="D227" s="934"/>
      <c r="E227" s="934"/>
      <c r="F227" s="1003"/>
      <c r="G227" s="1284" t="s">
        <v>284</v>
      </c>
      <c r="H227" s="1283">
        <v>8000</v>
      </c>
      <c r="I227" s="1279" t="s">
        <v>29</v>
      </c>
      <c r="J227" s="581"/>
      <c r="K227" s="1281"/>
      <c r="L227" s="1286">
        <v>40</v>
      </c>
      <c r="M227" s="1279" t="s">
        <v>29</v>
      </c>
      <c r="N227" s="1285">
        <v>2</v>
      </c>
      <c r="O227" s="1277" t="s">
        <v>36</v>
      </c>
      <c r="P227" s="1276">
        <f>H227*L227*N227</f>
        <v>640000</v>
      </c>
      <c r="Q227" s="582"/>
    </row>
    <row r="228" spans="1:17" ht="15" customHeight="1">
      <c r="A228" s="928"/>
      <c r="B228" s="929"/>
      <c r="C228" s="933"/>
      <c r="D228" s="934"/>
      <c r="E228" s="934"/>
      <c r="F228" s="1003"/>
      <c r="G228" s="1284" t="s">
        <v>285</v>
      </c>
      <c r="H228" s="1283">
        <v>8000</v>
      </c>
      <c r="I228" s="1279" t="s">
        <v>29</v>
      </c>
      <c r="J228" s="581"/>
      <c r="K228" s="1281"/>
      <c r="L228" s="1286">
        <v>30</v>
      </c>
      <c r="M228" s="1279" t="s">
        <v>29</v>
      </c>
      <c r="N228" s="1285">
        <v>12</v>
      </c>
      <c r="O228" s="1277" t="s">
        <v>36</v>
      </c>
      <c r="P228" s="1276">
        <f>H228*L228*N228</f>
        <v>2880000</v>
      </c>
      <c r="Q228" s="582"/>
    </row>
    <row r="229" spans="1:17" ht="15" customHeight="1">
      <c r="A229" s="928"/>
      <c r="B229" s="929"/>
      <c r="C229" s="933"/>
      <c r="D229" s="934"/>
      <c r="E229" s="934"/>
      <c r="F229" s="1003"/>
      <c r="G229" s="1284" t="s">
        <v>291</v>
      </c>
      <c r="H229" s="1283">
        <v>5000</v>
      </c>
      <c r="I229" s="1279"/>
      <c r="J229" s="1282"/>
      <c r="K229" s="1281"/>
      <c r="L229" s="1280"/>
      <c r="M229" s="1279" t="s">
        <v>29</v>
      </c>
      <c r="N229" s="1278">
        <v>450</v>
      </c>
      <c r="O229" s="1277" t="s">
        <v>36</v>
      </c>
      <c r="P229" s="1276">
        <f>H229*N229+15500</f>
        <v>2265500</v>
      </c>
      <c r="Q229" s="582"/>
    </row>
    <row r="230" spans="1:17" ht="15" customHeight="1">
      <c r="A230" s="928"/>
      <c r="B230" s="929"/>
      <c r="C230" s="933"/>
      <c r="D230" s="934"/>
      <c r="E230" s="934"/>
      <c r="F230" s="1003"/>
      <c r="G230" s="939" t="s">
        <v>146</v>
      </c>
      <c r="H230" s="592">
        <v>8350</v>
      </c>
      <c r="I230" s="1415" t="s">
        <v>29</v>
      </c>
      <c r="J230" s="581"/>
      <c r="K230" s="1279"/>
      <c r="L230" s="601">
        <v>300</v>
      </c>
      <c r="M230" s="1279" t="s">
        <v>29</v>
      </c>
      <c r="N230" s="599">
        <v>6</v>
      </c>
      <c r="O230" s="155" t="s">
        <v>36</v>
      </c>
      <c r="P230" s="1276">
        <f>H230*L230*N230</f>
        <v>15030000</v>
      </c>
      <c r="Q230" s="582"/>
    </row>
    <row r="231" spans="1:17" ht="15" customHeight="1">
      <c r="A231" s="928"/>
      <c r="B231" s="929"/>
      <c r="C231" s="933"/>
      <c r="D231" s="934"/>
      <c r="E231" s="934"/>
      <c r="F231" s="1003"/>
      <c r="G231" s="939" t="s">
        <v>111</v>
      </c>
      <c r="H231" s="592">
        <v>60000</v>
      </c>
      <c r="I231" s="1415" t="s">
        <v>29</v>
      </c>
      <c r="J231" s="581"/>
      <c r="K231" s="1279"/>
      <c r="L231" s="601">
        <v>489</v>
      </c>
      <c r="M231" s="1279" t="s">
        <v>29</v>
      </c>
      <c r="N231" s="599">
        <v>3.4</v>
      </c>
      <c r="O231" s="155" t="s">
        <v>36</v>
      </c>
      <c r="P231" s="1276">
        <f>H231*L231*N231-42220</f>
        <v>99713780</v>
      </c>
      <c r="Q231" s="582"/>
    </row>
    <row r="232" spans="1:17" ht="15" customHeight="1">
      <c r="A232" s="928"/>
      <c r="B232" s="929"/>
      <c r="C232" s="933"/>
      <c r="D232" s="934"/>
      <c r="E232" s="934"/>
      <c r="F232" s="1003"/>
      <c r="G232" s="939" t="s">
        <v>159</v>
      </c>
      <c r="H232" s="592">
        <v>20000</v>
      </c>
      <c r="I232" s="1415" t="s">
        <v>29</v>
      </c>
      <c r="J232" s="581"/>
      <c r="K232" s="1279"/>
      <c r="L232" s="601">
        <v>25</v>
      </c>
      <c r="M232" s="1279" t="s">
        <v>29</v>
      </c>
      <c r="N232" s="599">
        <v>2</v>
      </c>
      <c r="O232" s="155" t="s">
        <v>36</v>
      </c>
      <c r="P232" s="1276">
        <f>H232*L232*N232</f>
        <v>1000000</v>
      </c>
      <c r="Q232" s="582"/>
    </row>
    <row r="233" spans="1:17" ht="12.75" customHeight="1">
      <c r="A233" s="942" t="s">
        <v>187</v>
      </c>
      <c r="B233" s="1583" t="s">
        <v>193</v>
      </c>
      <c r="C233" s="1584"/>
      <c r="D233" s="943">
        <f>SUM(D234)</f>
        <v>0</v>
      </c>
      <c r="E233" s="943">
        <f>SUM(E234)</f>
        <v>0</v>
      </c>
      <c r="F233" s="1005">
        <f>E233-D233</f>
        <v>0</v>
      </c>
      <c r="G233" s="944"/>
      <c r="H233" s="906"/>
      <c r="I233" s="908"/>
      <c r="J233" s="906"/>
      <c r="K233" s="907"/>
      <c r="L233" s="906"/>
      <c r="M233" s="907"/>
      <c r="N233" s="910"/>
      <c r="O233" s="911"/>
      <c r="P233" s="912"/>
    </row>
    <row r="234" spans="1:17" ht="12.75" customHeight="1">
      <c r="A234" s="818"/>
      <c r="B234" s="945" t="s">
        <v>183</v>
      </c>
      <c r="C234" s="819" t="s">
        <v>193</v>
      </c>
      <c r="D234" s="946">
        <f>SUM(D235)</f>
        <v>0</v>
      </c>
      <c r="E234" s="946">
        <f>SUM(E235)</f>
        <v>0</v>
      </c>
      <c r="F234" s="1006">
        <f>E234-D234</f>
        <v>0</v>
      </c>
      <c r="G234" s="947"/>
      <c r="H234" s="948"/>
      <c r="I234" s="950"/>
      <c r="J234" s="948"/>
      <c r="K234" s="949"/>
      <c r="L234" s="948"/>
      <c r="M234" s="949"/>
      <c r="N234" s="951"/>
      <c r="O234" s="952"/>
      <c r="P234" s="115"/>
    </row>
    <row r="235" spans="1:17" ht="12.75" customHeight="1">
      <c r="A235" s="818"/>
      <c r="B235" s="303"/>
      <c r="C235" s="880" t="s">
        <v>191</v>
      </c>
      <c r="D235" s="842">
        <v>0</v>
      </c>
      <c r="E235" s="842">
        <f>SUM(P236)</f>
        <v>0</v>
      </c>
      <c r="F235" s="1006">
        <f>E235-D235</f>
        <v>0</v>
      </c>
      <c r="G235" s="953"/>
      <c r="H235" s="825"/>
      <c r="I235" s="954"/>
      <c r="J235" s="955"/>
      <c r="K235" s="826"/>
      <c r="L235" s="955"/>
      <c r="M235" s="826"/>
      <c r="N235" s="956"/>
      <c r="O235" s="957"/>
      <c r="P235" s="958"/>
    </row>
    <row r="236" spans="1:17" ht="15" hidden="1" customHeight="1">
      <c r="A236" s="818"/>
      <c r="B236" s="869"/>
      <c r="C236" s="840"/>
      <c r="D236" s="820"/>
      <c r="E236" s="820"/>
      <c r="F236" s="990"/>
      <c r="G236" s="205"/>
      <c r="H236" s="959"/>
      <c r="I236" s="960"/>
      <c r="J236" s="209"/>
      <c r="K236" s="207"/>
      <c r="L236" s="209"/>
      <c r="M236" s="960"/>
      <c r="N236" s="209"/>
      <c r="O236" s="210"/>
      <c r="P236" s="211"/>
    </row>
    <row r="237" spans="1:17" ht="15" customHeight="1">
      <c r="A237" s="961" t="s">
        <v>117</v>
      </c>
      <c r="B237" s="1479" t="s">
        <v>193</v>
      </c>
      <c r="C237" s="1480"/>
      <c r="D237" s="164">
        <f>SUM(D238)</f>
        <v>26540000</v>
      </c>
      <c r="E237" s="164">
        <f>SUM(E238)</f>
        <v>29450914</v>
      </c>
      <c r="F237" s="1006">
        <f>E237-D237</f>
        <v>2910914</v>
      </c>
      <c r="G237" s="962"/>
      <c r="H237" s="955"/>
      <c r="I237" s="963"/>
      <c r="J237" s="964"/>
      <c r="K237" s="825"/>
      <c r="L237" s="964"/>
      <c r="M237" s="965"/>
      <c r="N237" s="966"/>
      <c r="O237" s="114"/>
      <c r="P237" s="115"/>
    </row>
    <row r="238" spans="1:17" ht="15" customHeight="1">
      <c r="A238" s="818"/>
      <c r="B238" s="967" t="s">
        <v>129</v>
      </c>
      <c r="C238" s="896" t="s">
        <v>189</v>
      </c>
      <c r="D238" s="239">
        <f>SUM(D239:D244)</f>
        <v>26540000</v>
      </c>
      <c r="E238" s="239">
        <f>SUM(E239:E244)</f>
        <v>29450914</v>
      </c>
      <c r="F238" s="992">
        <f>E238-D238</f>
        <v>2910914</v>
      </c>
      <c r="G238" s="968"/>
      <c r="H238" s="969"/>
      <c r="I238" s="970"/>
      <c r="J238" s="971"/>
      <c r="K238" s="858"/>
      <c r="L238" s="971"/>
      <c r="M238" s="972"/>
      <c r="N238" s="973"/>
      <c r="O238" s="114"/>
      <c r="P238" s="115"/>
      <c r="Q238" s="1396"/>
    </row>
    <row r="239" spans="1:17" ht="15" customHeight="1">
      <c r="A239" s="818"/>
      <c r="B239" s="116"/>
      <c r="C239" s="116" t="s">
        <v>200</v>
      </c>
      <c r="D239" s="239">
        <v>0</v>
      </c>
      <c r="E239" s="239">
        <f>SUM(P239)</f>
        <v>0</v>
      </c>
      <c r="F239" s="992">
        <f>E239-D239</f>
        <v>0</v>
      </c>
      <c r="G239" s="143" t="s">
        <v>246</v>
      </c>
      <c r="H239" s="543"/>
      <c r="I239" s="974"/>
      <c r="J239" s="545"/>
      <c r="K239" s="974"/>
      <c r="L239" s="545"/>
      <c r="M239" s="974"/>
      <c r="N239" s="546"/>
      <c r="O239" s="975"/>
      <c r="P239" s="117">
        <v>0</v>
      </c>
    </row>
    <row r="240" spans="1:17" ht="15" customHeight="1">
      <c r="A240" s="818"/>
      <c r="B240" s="819"/>
      <c r="C240" s="821" t="s">
        <v>199</v>
      </c>
      <c r="D240" s="142">
        <v>26540000</v>
      </c>
      <c r="E240" s="142">
        <f>SUM(P241:P241)</f>
        <v>29450914</v>
      </c>
      <c r="F240" s="1006">
        <f>E240-D240</f>
        <v>2910914</v>
      </c>
      <c r="G240" s="591"/>
      <c r="H240" s="592"/>
      <c r="I240" s="977"/>
      <c r="J240" s="976"/>
      <c r="K240" s="153"/>
      <c r="L240" s="976"/>
      <c r="M240" s="153"/>
      <c r="N240" s="600"/>
      <c r="O240" s="155"/>
      <c r="P240" s="118"/>
    </row>
    <row r="241" spans="1:16" ht="15" customHeight="1">
      <c r="A241" s="978"/>
      <c r="B241" s="979"/>
      <c r="C241" s="819"/>
      <c r="D241" s="820"/>
      <c r="E241" s="820"/>
      <c r="F241" s="990"/>
      <c r="G241" s="526" t="s">
        <v>59</v>
      </c>
      <c r="H241" s="1193"/>
      <c r="I241" s="1194"/>
      <c r="J241" s="1194"/>
      <c r="K241" s="1194"/>
      <c r="L241" s="1195"/>
      <c r="M241" s="1196"/>
      <c r="N241" s="1197"/>
      <c r="O241" s="1196"/>
      <c r="P241" s="1440">
        <f>SUM(P242:P244)</f>
        <v>29450914</v>
      </c>
    </row>
    <row r="242" spans="1:16" ht="15" customHeight="1">
      <c r="A242" s="978"/>
      <c r="B242" s="979"/>
      <c r="C242" s="819"/>
      <c r="D242" s="820"/>
      <c r="E242" s="820"/>
      <c r="F242" s="990"/>
      <c r="G242" s="527" t="s">
        <v>168</v>
      </c>
      <c r="H242" s="1198">
        <v>29218574</v>
      </c>
      <c r="I242" s="1199"/>
      <c r="J242" s="1199"/>
      <c r="K242" s="1199"/>
      <c r="L242" s="1200"/>
      <c r="M242" s="1200" t="s">
        <v>29</v>
      </c>
      <c r="N242" s="1201">
        <v>1</v>
      </c>
      <c r="O242" s="1202" t="s">
        <v>36</v>
      </c>
      <c r="P242" s="1203">
        <f>H242*N242</f>
        <v>29218574</v>
      </c>
    </row>
    <row r="243" spans="1:16" ht="15" customHeight="1">
      <c r="A243" s="978"/>
      <c r="B243" s="979"/>
      <c r="C243" s="819"/>
      <c r="D243" s="820"/>
      <c r="E243" s="820"/>
      <c r="F243" s="990"/>
      <c r="G243" s="527" t="s">
        <v>161</v>
      </c>
      <c r="H243" s="1198">
        <v>132340</v>
      </c>
      <c r="I243" s="1199"/>
      <c r="J243" s="1199"/>
      <c r="K243" s="1199"/>
      <c r="L243" s="1200"/>
      <c r="M243" s="1200" t="s">
        <v>29</v>
      </c>
      <c r="N243" s="1201">
        <v>1</v>
      </c>
      <c r="O243" s="1202" t="s">
        <v>36</v>
      </c>
      <c r="P243" s="1203">
        <f>H243*N243</f>
        <v>132340</v>
      </c>
    </row>
    <row r="244" spans="1:16" ht="15" customHeight="1" thickBot="1">
      <c r="A244" s="980"/>
      <c r="B244" s="981"/>
      <c r="C244" s="982"/>
      <c r="D244" s="983"/>
      <c r="E244" s="983"/>
      <c r="F244" s="1007"/>
      <c r="G244" s="528" t="s">
        <v>281</v>
      </c>
      <c r="H244" s="1206">
        <v>100000</v>
      </c>
      <c r="I244" s="1207"/>
      <c r="J244" s="1207"/>
      <c r="K244" s="1207"/>
      <c r="L244" s="1208"/>
      <c r="M244" s="1208" t="s">
        <v>29</v>
      </c>
      <c r="N244" s="1209">
        <v>1</v>
      </c>
      <c r="O244" s="1210" t="s">
        <v>36</v>
      </c>
      <c r="P244" s="1211">
        <f>H244*N244</f>
        <v>100000</v>
      </c>
    </row>
  </sheetData>
  <mergeCells count="13">
    <mergeCell ref="A1:P1"/>
    <mergeCell ref="A3:C3"/>
    <mergeCell ref="D3:D4"/>
    <mergeCell ref="E3:E4"/>
    <mergeCell ref="F3:F4"/>
    <mergeCell ref="G3:P4"/>
    <mergeCell ref="B233:C233"/>
    <mergeCell ref="A5:C5"/>
    <mergeCell ref="B6:C6"/>
    <mergeCell ref="C56:C72"/>
    <mergeCell ref="B57:B72"/>
    <mergeCell ref="B186:C186"/>
    <mergeCell ref="B191:C191"/>
  </mergeCells>
  <phoneticPr fontId="54" type="noConversion"/>
  <printOptions horizontalCentered="1"/>
  <pageMargins left="0.39347222447395325" right="0.39347222447395325" top="0.74777776002883911" bottom="0.74777776002883911" header="0.31486111879348755" footer="0.31486111879348755"/>
  <pageSetup paperSize="9" scale="75" fitToHeight="0" orientation="landscape" r:id="rId1"/>
  <rowBreaks count="4" manualBreakCount="4">
    <brk id="36" max="15" man="1"/>
    <brk id="153" max="15" man="1"/>
    <brk id="192" max="15" man="1"/>
    <brk id="231" max="1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세출예산서(시도보조금_무한)">
    <pageSetUpPr fitToPage="1"/>
  </sheetPr>
  <dimension ref="A1:P72"/>
  <sheetViews>
    <sheetView view="pageBreakPreview" zoomScaleNormal="100" zoomScaleSheetLayoutView="100" workbookViewId="0">
      <pane ySplit="5" topLeftCell="A15" activePane="bottomLeft" state="frozen"/>
      <selection pane="bottomLeft" activeCell="G55" sqref="G55"/>
    </sheetView>
  </sheetViews>
  <sheetFormatPr defaultColWidth="8.75" defaultRowHeight="16.5"/>
  <cols>
    <col min="1" max="2" width="11.875" style="119" bestFit="1" customWidth="1"/>
    <col min="3" max="3" width="18.75" style="119" customWidth="1"/>
    <col min="4" max="5" width="11.25" style="119" bestFit="1" customWidth="1"/>
    <col min="6" max="6" width="11.5" style="119" bestFit="1" customWidth="1"/>
    <col min="7" max="7" width="33.5" style="119" customWidth="1"/>
    <col min="8" max="8" width="12.75" style="119" customWidth="1"/>
    <col min="9" max="9" width="4.125" style="119" customWidth="1"/>
    <col min="10" max="10" width="5.5" style="119" customWidth="1"/>
    <col min="11" max="11" width="2" style="119" customWidth="1"/>
    <col min="12" max="12" width="4.875" style="119" customWidth="1"/>
    <col min="13" max="13" width="3.25" style="119" customWidth="1"/>
    <col min="14" max="14" width="6.625" style="119" customWidth="1"/>
    <col min="15" max="15" width="2.625" style="119" customWidth="1"/>
    <col min="16" max="16" width="15.375" style="119" customWidth="1"/>
    <col min="17" max="16384" width="8.75" style="119"/>
  </cols>
  <sheetData>
    <row r="1" spans="1:16" ht="35.1" customHeight="1">
      <c r="A1" s="1611" t="s">
        <v>6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</row>
    <row r="2" spans="1:16" s="1309" customFormat="1" ht="15" customHeight="1">
      <c r="A2" s="1319" t="s">
        <v>245</v>
      </c>
      <c r="B2" s="1319"/>
      <c r="C2" s="1317"/>
      <c r="D2" s="1312"/>
      <c r="E2" s="1318"/>
      <c r="F2" s="1312"/>
      <c r="G2" s="1317"/>
      <c r="H2" s="1316"/>
      <c r="I2" s="1314"/>
      <c r="J2" s="1315"/>
      <c r="K2" s="1314"/>
      <c r="L2" s="1314"/>
      <c r="M2" s="1313"/>
      <c r="N2" s="1312"/>
      <c r="O2" s="1312"/>
      <c r="P2" s="1311" t="s">
        <v>75</v>
      </c>
    </row>
    <row r="3" spans="1:16" ht="15" customHeight="1">
      <c r="A3" s="1612" t="s">
        <v>192</v>
      </c>
      <c r="B3" s="1613"/>
      <c r="C3" s="1613"/>
      <c r="D3" s="1537" t="s">
        <v>297</v>
      </c>
      <c r="E3" s="1539" t="s">
        <v>299</v>
      </c>
      <c r="F3" s="1597" t="s">
        <v>293</v>
      </c>
      <c r="G3" s="1600" t="s">
        <v>225</v>
      </c>
      <c r="H3" s="1600"/>
      <c r="I3" s="1600"/>
      <c r="J3" s="1600"/>
      <c r="K3" s="1600"/>
      <c r="L3" s="1600"/>
      <c r="M3" s="1600"/>
      <c r="N3" s="1600"/>
      <c r="O3" s="1600"/>
      <c r="P3" s="1601"/>
    </row>
    <row r="4" spans="1:16" ht="15" customHeight="1">
      <c r="A4" s="797" t="s">
        <v>0</v>
      </c>
      <c r="B4" s="798" t="s">
        <v>2</v>
      </c>
      <c r="C4" s="798" t="s">
        <v>1</v>
      </c>
      <c r="D4" s="1538"/>
      <c r="E4" s="1540"/>
      <c r="F4" s="1598"/>
      <c r="G4" s="1603"/>
      <c r="H4" s="1603"/>
      <c r="I4" s="1603"/>
      <c r="J4" s="1603"/>
      <c r="K4" s="1603"/>
      <c r="L4" s="1603"/>
      <c r="M4" s="1603"/>
      <c r="N4" s="1603"/>
      <c r="O4" s="1603"/>
      <c r="P4" s="1604"/>
    </row>
    <row r="5" spans="1:16" ht="15" customHeight="1">
      <c r="A5" s="1585" t="s">
        <v>194</v>
      </c>
      <c r="B5" s="1586"/>
      <c r="C5" s="1587"/>
      <c r="D5" s="1012">
        <f>SUM(D6,D65,D69)</f>
        <v>247821000</v>
      </c>
      <c r="E5" s="799">
        <f>SUM(E6,E65,E69)</f>
        <v>247821000</v>
      </c>
      <c r="F5" s="984">
        <f>SUM(F6,F65,F69)</f>
        <v>0</v>
      </c>
      <c r="G5" s="800"/>
      <c r="H5" s="801"/>
      <c r="I5" s="802"/>
      <c r="J5" s="803"/>
      <c r="K5" s="802"/>
      <c r="L5" s="802"/>
      <c r="M5" s="804"/>
      <c r="N5" s="804"/>
      <c r="O5" s="805"/>
      <c r="P5" s="806"/>
    </row>
    <row r="6" spans="1:16" ht="15" customHeight="1">
      <c r="A6" s="1013" t="s">
        <v>185</v>
      </c>
      <c r="B6" s="1014" t="s">
        <v>123</v>
      </c>
      <c r="C6" s="1015"/>
      <c r="D6" s="164">
        <f>SUM(D7,D52)</f>
        <v>247821000</v>
      </c>
      <c r="E6" s="1016">
        <f>SUM(E7,E52)</f>
        <v>247821000</v>
      </c>
      <c r="F6" s="985">
        <f>E6-D6</f>
        <v>0</v>
      </c>
      <c r="G6" s="808"/>
      <c r="H6" s="809"/>
      <c r="I6" s="810"/>
      <c r="J6" s="811"/>
      <c r="K6" s="810"/>
      <c r="L6" s="810"/>
      <c r="M6" s="812"/>
      <c r="N6" s="812"/>
      <c r="O6" s="813"/>
      <c r="P6" s="814"/>
    </row>
    <row r="7" spans="1:16" ht="15" customHeight="1">
      <c r="A7" s="313"/>
      <c r="B7" s="314" t="s">
        <v>186</v>
      </c>
      <c r="C7" s="315" t="s">
        <v>3</v>
      </c>
      <c r="D7" s="239">
        <f>SUM(D8:D50)</f>
        <v>235321000</v>
      </c>
      <c r="E7" s="323">
        <f>SUM(E8:E50)</f>
        <v>235321000</v>
      </c>
      <c r="F7" s="986">
        <f>SUM(F8:F48)</f>
        <v>155</v>
      </c>
      <c r="G7" s="316"/>
      <c r="H7" s="317"/>
      <c r="I7" s="1271"/>
      <c r="J7" s="318"/>
      <c r="K7" s="1271"/>
      <c r="L7" s="1271"/>
      <c r="M7" s="1271"/>
      <c r="N7" s="319"/>
      <c r="O7" s="559"/>
      <c r="P7" s="320"/>
    </row>
    <row r="8" spans="1:16" ht="15" customHeight="1">
      <c r="A8" s="321"/>
      <c r="B8" s="322"/>
      <c r="C8" s="322" t="s">
        <v>202</v>
      </c>
      <c r="D8" s="142">
        <v>162241000</v>
      </c>
      <c r="E8" s="323">
        <f>SUM(P9)</f>
        <v>155459800</v>
      </c>
      <c r="F8" s="986">
        <f>E8-D8</f>
        <v>-6781200</v>
      </c>
      <c r="G8" s="316"/>
      <c r="H8" s="325"/>
      <c r="I8" s="1271"/>
      <c r="J8" s="318"/>
      <c r="K8" s="1271"/>
      <c r="L8" s="1271"/>
      <c r="M8" s="1271"/>
      <c r="N8" s="319"/>
      <c r="O8" s="559"/>
      <c r="P8" s="326"/>
    </row>
    <row r="9" spans="1:16" ht="15" customHeight="1">
      <c r="A9" s="321"/>
      <c r="B9" s="327"/>
      <c r="C9" s="328"/>
      <c r="D9" s="329"/>
      <c r="E9" s="513"/>
      <c r="F9" s="987"/>
      <c r="G9" s="1244" t="s">
        <v>241</v>
      </c>
      <c r="H9" s="1245"/>
      <c r="I9" s="1266"/>
      <c r="J9" s="331"/>
      <c r="K9" s="1266"/>
      <c r="L9" s="1245"/>
      <c r="M9" s="1266"/>
      <c r="N9" s="1248"/>
      <c r="O9" s="1248"/>
      <c r="P9" s="332">
        <f>SUM(P10:P18)</f>
        <v>155459800</v>
      </c>
    </row>
    <row r="10" spans="1:16" ht="15" customHeight="1">
      <c r="A10" s="321"/>
      <c r="B10" s="333"/>
      <c r="C10" s="333"/>
      <c r="D10" s="334"/>
      <c r="E10" s="335"/>
      <c r="F10" s="1034"/>
      <c r="G10" s="1359" t="s">
        <v>328</v>
      </c>
      <c r="H10" s="1365">
        <v>3188200</v>
      </c>
      <c r="I10" s="1386" t="s">
        <v>29</v>
      </c>
      <c r="J10" s="1366">
        <v>1</v>
      </c>
      <c r="K10" s="1367"/>
      <c r="L10" s="1386" t="s">
        <v>29</v>
      </c>
      <c r="M10" s="1387"/>
      <c r="N10" s="1369">
        <v>12</v>
      </c>
      <c r="O10" s="1369" t="s">
        <v>36</v>
      </c>
      <c r="P10" s="1388">
        <f>H10*J10*N10</f>
        <v>38258400</v>
      </c>
    </row>
    <row r="11" spans="1:16" ht="15" customHeight="1">
      <c r="A11" s="321"/>
      <c r="B11" s="333"/>
      <c r="C11" s="333"/>
      <c r="D11" s="334"/>
      <c r="E11" s="335"/>
      <c r="F11" s="1034"/>
      <c r="G11" s="1358" t="s">
        <v>329</v>
      </c>
      <c r="H11" s="1360">
        <v>2713000</v>
      </c>
      <c r="I11" s="1386" t="s">
        <v>29</v>
      </c>
      <c r="J11" s="1361">
        <v>1</v>
      </c>
      <c r="K11" s="1356"/>
      <c r="L11" s="1386" t="s">
        <v>29</v>
      </c>
      <c r="M11" s="1389"/>
      <c r="N11" s="1357">
        <v>10</v>
      </c>
      <c r="O11" s="1357" t="s">
        <v>36</v>
      </c>
      <c r="P11" s="1388">
        <f t="shared" ref="P11:P18" si="0">H11*J11*N11</f>
        <v>27130000</v>
      </c>
    </row>
    <row r="12" spans="1:16" ht="15" customHeight="1">
      <c r="A12" s="321"/>
      <c r="B12" s="333"/>
      <c r="C12" s="333"/>
      <c r="D12" s="337"/>
      <c r="E12" s="336"/>
      <c r="F12" s="1035"/>
      <c r="G12" s="1358" t="s">
        <v>330</v>
      </c>
      <c r="H12" s="1360">
        <v>2808100</v>
      </c>
      <c r="I12" s="1386" t="s">
        <v>29</v>
      </c>
      <c r="J12" s="1361">
        <v>1</v>
      </c>
      <c r="K12" s="1356"/>
      <c r="L12" s="1386" t="s">
        <v>29</v>
      </c>
      <c r="M12" s="1389"/>
      <c r="N12" s="1357">
        <v>2</v>
      </c>
      <c r="O12" s="1357" t="s">
        <v>36</v>
      </c>
      <c r="P12" s="1388">
        <f t="shared" si="0"/>
        <v>5616200</v>
      </c>
    </row>
    <row r="13" spans="1:16" ht="15" customHeight="1">
      <c r="A13" s="321"/>
      <c r="B13" s="333"/>
      <c r="C13" s="333"/>
      <c r="D13" s="337"/>
      <c r="E13" s="336"/>
      <c r="F13" s="1035"/>
      <c r="G13" s="1358" t="s">
        <v>331</v>
      </c>
      <c r="H13" s="1360">
        <v>2331500</v>
      </c>
      <c r="I13" s="1386" t="s">
        <v>29</v>
      </c>
      <c r="J13" s="1361">
        <v>1</v>
      </c>
      <c r="K13" s="1356"/>
      <c r="L13" s="1386" t="s">
        <v>29</v>
      </c>
      <c r="M13" s="1389"/>
      <c r="N13" s="1357">
        <v>2</v>
      </c>
      <c r="O13" s="1357" t="s">
        <v>36</v>
      </c>
      <c r="P13" s="1388">
        <f t="shared" si="0"/>
        <v>4663000</v>
      </c>
    </row>
    <row r="14" spans="1:16" ht="15" customHeight="1">
      <c r="A14" s="321"/>
      <c r="B14" s="333"/>
      <c r="C14" s="333"/>
      <c r="D14" s="337"/>
      <c r="E14" s="336"/>
      <c r="F14" s="1035"/>
      <c r="G14" s="1359" t="s">
        <v>332</v>
      </c>
      <c r="H14" s="1365">
        <v>2421500</v>
      </c>
      <c r="I14" s="1386" t="s">
        <v>29</v>
      </c>
      <c r="J14" s="1366">
        <v>1</v>
      </c>
      <c r="K14" s="1367"/>
      <c r="L14" s="1386" t="s">
        <v>29</v>
      </c>
      <c r="M14" s="1387"/>
      <c r="N14" s="1369">
        <v>10</v>
      </c>
      <c r="O14" s="1369" t="s">
        <v>36</v>
      </c>
      <c r="P14" s="1388">
        <f t="shared" si="0"/>
        <v>24215000</v>
      </c>
    </row>
    <row r="15" spans="1:16" ht="15" customHeight="1">
      <c r="A15" s="321"/>
      <c r="B15" s="333"/>
      <c r="C15" s="333"/>
      <c r="D15" s="337"/>
      <c r="E15" s="336"/>
      <c r="F15" s="1035"/>
      <c r="G15" s="1359" t="s">
        <v>333</v>
      </c>
      <c r="H15" s="1365">
        <v>2331500</v>
      </c>
      <c r="I15" s="1386" t="s">
        <v>29</v>
      </c>
      <c r="J15" s="1366">
        <v>1</v>
      </c>
      <c r="K15" s="1367"/>
      <c r="L15" s="1386" t="s">
        <v>29</v>
      </c>
      <c r="M15" s="1387"/>
      <c r="N15" s="1369">
        <v>3</v>
      </c>
      <c r="O15" s="1369" t="s">
        <v>36</v>
      </c>
      <c r="P15" s="1388">
        <f t="shared" si="0"/>
        <v>6994500</v>
      </c>
    </row>
    <row r="16" spans="1:16" ht="15" customHeight="1">
      <c r="A16" s="321"/>
      <c r="B16" s="333"/>
      <c r="C16" s="333"/>
      <c r="D16" s="337"/>
      <c r="E16" s="336"/>
      <c r="F16" s="1035"/>
      <c r="G16" s="1390" t="s">
        <v>334</v>
      </c>
      <c r="H16" s="1365">
        <v>2421500</v>
      </c>
      <c r="I16" s="1386" t="s">
        <v>29</v>
      </c>
      <c r="J16" s="1366">
        <v>1</v>
      </c>
      <c r="K16" s="1367"/>
      <c r="L16" s="1386" t="s">
        <v>29</v>
      </c>
      <c r="M16" s="1387"/>
      <c r="N16" s="1369">
        <v>9</v>
      </c>
      <c r="O16" s="1369" t="s">
        <v>36</v>
      </c>
      <c r="P16" s="1388">
        <f t="shared" si="0"/>
        <v>21793500</v>
      </c>
    </row>
    <row r="17" spans="1:16" ht="15" customHeight="1">
      <c r="A17" s="321"/>
      <c r="B17" s="333"/>
      <c r="C17" s="333"/>
      <c r="D17" s="337"/>
      <c r="E17" s="336"/>
      <c r="F17" s="1035"/>
      <c r="G17" s="1390" t="s">
        <v>335</v>
      </c>
      <c r="H17" s="1365">
        <v>2065600</v>
      </c>
      <c r="I17" s="1386" t="s">
        <v>29</v>
      </c>
      <c r="J17" s="1366">
        <v>1</v>
      </c>
      <c r="K17" s="1367"/>
      <c r="L17" s="1386" t="s">
        <v>29</v>
      </c>
      <c r="M17" s="1391"/>
      <c r="N17" s="1369">
        <v>2</v>
      </c>
      <c r="O17" s="1369" t="s">
        <v>36</v>
      </c>
      <c r="P17" s="1388">
        <f t="shared" si="0"/>
        <v>4131200</v>
      </c>
    </row>
    <row r="18" spans="1:16" ht="15" customHeight="1">
      <c r="A18" s="321"/>
      <c r="B18" s="333"/>
      <c r="C18" s="333"/>
      <c r="D18" s="337"/>
      <c r="E18" s="336"/>
      <c r="F18" s="1035"/>
      <c r="G18" s="1390" t="s">
        <v>336</v>
      </c>
      <c r="H18" s="1365">
        <v>2265800</v>
      </c>
      <c r="I18" s="1386" t="s">
        <v>29</v>
      </c>
      <c r="J18" s="1366">
        <v>1</v>
      </c>
      <c r="K18" s="1367"/>
      <c r="L18" s="1386" t="s">
        <v>29</v>
      </c>
      <c r="M18" s="1391"/>
      <c r="N18" s="1369">
        <v>10</v>
      </c>
      <c r="O18" s="1369" t="s">
        <v>36</v>
      </c>
      <c r="P18" s="1388">
        <f t="shared" si="0"/>
        <v>22658000</v>
      </c>
    </row>
    <row r="19" spans="1:16" ht="15" customHeight="1">
      <c r="A19" s="321"/>
      <c r="B19" s="338"/>
      <c r="C19" s="339" t="s">
        <v>197</v>
      </c>
      <c r="D19" s="340">
        <v>35388440</v>
      </c>
      <c r="E19" s="305">
        <f>SUM(P20,P25,P34)</f>
        <v>33559530</v>
      </c>
      <c r="F19" s="986">
        <f>E19-D19</f>
        <v>-1828910</v>
      </c>
      <c r="G19" s="341"/>
      <c r="H19" s="307"/>
      <c r="I19" s="1271"/>
      <c r="J19" s="342"/>
      <c r="K19" s="1271"/>
      <c r="L19" s="307"/>
      <c r="M19" s="1271"/>
      <c r="N19" s="559"/>
      <c r="O19" s="559"/>
      <c r="P19" s="1017"/>
    </row>
    <row r="20" spans="1:16" ht="15" customHeight="1">
      <c r="A20" s="321"/>
      <c r="B20" s="338"/>
      <c r="C20" s="343"/>
      <c r="D20" s="239"/>
      <c r="E20" s="323"/>
      <c r="F20" s="993"/>
      <c r="G20" s="1358" t="s">
        <v>369</v>
      </c>
      <c r="H20" s="1360"/>
      <c r="I20" s="1356"/>
      <c r="J20" s="1371"/>
      <c r="K20" s="1356"/>
      <c r="L20" s="1360"/>
      <c r="M20" s="1356"/>
      <c r="N20" s="1357"/>
      <c r="O20" s="1357"/>
      <c r="P20" s="1392">
        <f>SUM(P21:P24)</f>
        <v>1440000</v>
      </c>
    </row>
    <row r="21" spans="1:16" ht="15" customHeight="1">
      <c r="A21" s="321"/>
      <c r="B21" s="338"/>
      <c r="C21" s="345"/>
      <c r="D21" s="224"/>
      <c r="E21" s="145"/>
      <c r="F21" s="993"/>
      <c r="G21" s="1358" t="s">
        <v>337</v>
      </c>
      <c r="H21" s="1360">
        <v>40000</v>
      </c>
      <c r="I21" s="1355" t="s">
        <v>29</v>
      </c>
      <c r="J21" s="1373">
        <v>2</v>
      </c>
      <c r="K21" s="1356"/>
      <c r="L21" s="1355" t="s">
        <v>29</v>
      </c>
      <c r="M21" s="1356"/>
      <c r="N21" s="1357">
        <v>12</v>
      </c>
      <c r="O21" s="1357" t="s">
        <v>36</v>
      </c>
      <c r="P21" s="1363">
        <f>SUM(H21*J21*N21)</f>
        <v>960000</v>
      </c>
    </row>
    <row r="22" spans="1:16" ht="15" customHeight="1">
      <c r="A22" s="321"/>
      <c r="B22" s="338"/>
      <c r="C22" s="345"/>
      <c r="D22" s="224"/>
      <c r="E22" s="145"/>
      <c r="F22" s="993"/>
      <c r="G22" s="1358" t="s">
        <v>338</v>
      </c>
      <c r="H22" s="1360">
        <v>20000</v>
      </c>
      <c r="I22" s="1355" t="s">
        <v>29</v>
      </c>
      <c r="J22" s="1373">
        <v>1</v>
      </c>
      <c r="K22" s="1356"/>
      <c r="L22" s="1355" t="s">
        <v>29</v>
      </c>
      <c r="M22" s="1375"/>
      <c r="N22" s="1357">
        <v>12</v>
      </c>
      <c r="O22" s="1357" t="s">
        <v>36</v>
      </c>
      <c r="P22" s="1363">
        <f>SUM(H22*J22*N22)</f>
        <v>240000</v>
      </c>
    </row>
    <row r="23" spans="1:16" ht="15" customHeight="1">
      <c r="A23" s="321"/>
      <c r="B23" s="338"/>
      <c r="C23" s="345"/>
      <c r="D23" s="224"/>
      <c r="E23" s="145"/>
      <c r="F23" s="993"/>
      <c r="G23" s="1358" t="s">
        <v>339</v>
      </c>
      <c r="H23" s="1360">
        <v>40000</v>
      </c>
      <c r="I23" s="1355" t="s">
        <v>29</v>
      </c>
      <c r="J23" s="1373">
        <v>1</v>
      </c>
      <c r="K23" s="1356"/>
      <c r="L23" s="1355" t="s">
        <v>29</v>
      </c>
      <c r="M23" s="1356"/>
      <c r="N23" s="1357">
        <v>4</v>
      </c>
      <c r="O23" s="1357" t="s">
        <v>36</v>
      </c>
      <c r="P23" s="1363">
        <f>SUM(H23*J23*N23)</f>
        <v>160000</v>
      </c>
    </row>
    <row r="24" spans="1:16" ht="15" customHeight="1">
      <c r="A24" s="321"/>
      <c r="B24" s="347"/>
      <c r="C24" s="345"/>
      <c r="D24" s="224"/>
      <c r="E24" s="145"/>
      <c r="F24" s="993"/>
      <c r="G24" s="1358" t="s">
        <v>340</v>
      </c>
      <c r="H24" s="1360">
        <v>20000</v>
      </c>
      <c r="I24" s="1355" t="s">
        <v>29</v>
      </c>
      <c r="J24" s="1373">
        <v>1</v>
      </c>
      <c r="K24" s="1356"/>
      <c r="L24" s="1355" t="s">
        <v>29</v>
      </c>
      <c r="M24" s="1356"/>
      <c r="N24" s="1357">
        <v>4</v>
      </c>
      <c r="O24" s="1357" t="s">
        <v>36</v>
      </c>
      <c r="P24" s="1363">
        <f>SUM(H24*J24*N24)</f>
        <v>80000</v>
      </c>
    </row>
    <row r="25" spans="1:16" ht="15" customHeight="1">
      <c r="A25" s="321"/>
      <c r="B25" s="347"/>
      <c r="C25" s="348"/>
      <c r="D25" s="337"/>
      <c r="E25" s="336"/>
      <c r="F25" s="1035"/>
      <c r="G25" s="1358" t="s">
        <v>282</v>
      </c>
      <c r="H25" s="1360"/>
      <c r="I25" s="1356"/>
      <c r="J25" s="1371"/>
      <c r="K25" s="1356"/>
      <c r="L25" s="1360"/>
      <c r="M25" s="1356"/>
      <c r="N25" s="1357"/>
      <c r="O25" s="1357"/>
      <c r="P25" s="1392">
        <f>SUM(P26:P33)</f>
        <v>15383880</v>
      </c>
    </row>
    <row r="26" spans="1:16" ht="15" customHeight="1">
      <c r="A26" s="321"/>
      <c r="B26" s="347"/>
      <c r="C26" s="348"/>
      <c r="D26" s="337"/>
      <c r="E26" s="336"/>
      <c r="F26" s="1035"/>
      <c r="G26" s="1359" t="s">
        <v>328</v>
      </c>
      <c r="H26" s="1365">
        <v>3188200</v>
      </c>
      <c r="I26" s="1355" t="s">
        <v>29</v>
      </c>
      <c r="J26" s="1376">
        <v>0.6</v>
      </c>
      <c r="K26" s="1355" t="s">
        <v>29</v>
      </c>
      <c r="L26" s="1373">
        <v>1</v>
      </c>
      <c r="M26" s="1355" t="s">
        <v>29</v>
      </c>
      <c r="N26" s="1377">
        <v>2</v>
      </c>
      <c r="O26" s="1357" t="s">
        <v>36</v>
      </c>
      <c r="P26" s="1363">
        <f>ROUND(SUM(H26*J26*L26*N26),-1)</f>
        <v>3825840</v>
      </c>
    </row>
    <row r="27" spans="1:16" ht="15" customHeight="1">
      <c r="A27" s="321"/>
      <c r="B27" s="347"/>
      <c r="C27" s="348"/>
      <c r="D27" s="337"/>
      <c r="E27" s="336"/>
      <c r="F27" s="1035"/>
      <c r="G27" s="1358" t="s">
        <v>329</v>
      </c>
      <c r="H27" s="1360">
        <v>2713000</v>
      </c>
      <c r="I27" s="1355" t="s">
        <v>29</v>
      </c>
      <c r="J27" s="1376">
        <v>0.6</v>
      </c>
      <c r="K27" s="1355" t="s">
        <v>29</v>
      </c>
      <c r="L27" s="1373">
        <v>1</v>
      </c>
      <c r="M27" s="1355" t="s">
        <v>29</v>
      </c>
      <c r="N27" s="1377">
        <v>2</v>
      </c>
      <c r="O27" s="1357" t="s">
        <v>36</v>
      </c>
      <c r="P27" s="1363">
        <f t="shared" ref="P27:P33" si="1">ROUND(SUM(H27*J27*L27*N27),-1)</f>
        <v>3255600</v>
      </c>
    </row>
    <row r="28" spans="1:16" ht="15" customHeight="1">
      <c r="A28" s="321"/>
      <c r="B28" s="347"/>
      <c r="C28" s="348"/>
      <c r="D28" s="337"/>
      <c r="E28" s="336"/>
      <c r="F28" s="1035"/>
      <c r="G28" s="1358" t="s">
        <v>331</v>
      </c>
      <c r="H28" s="1360">
        <v>2331500</v>
      </c>
      <c r="I28" s="1355" t="s">
        <v>29</v>
      </c>
      <c r="J28" s="1376">
        <v>0.6</v>
      </c>
      <c r="K28" s="1355" t="s">
        <v>29</v>
      </c>
      <c r="L28" s="1373">
        <v>1</v>
      </c>
      <c r="M28" s="1355" t="s">
        <v>29</v>
      </c>
      <c r="N28" s="1377">
        <v>1</v>
      </c>
      <c r="O28" s="1357" t="s">
        <v>36</v>
      </c>
      <c r="P28" s="1363">
        <f t="shared" si="1"/>
        <v>1398900</v>
      </c>
    </row>
    <row r="29" spans="1:16" ht="15" customHeight="1">
      <c r="A29" s="321"/>
      <c r="B29" s="347"/>
      <c r="C29" s="348"/>
      <c r="D29" s="337"/>
      <c r="E29" s="336"/>
      <c r="F29" s="1035">
        <v>155</v>
      </c>
      <c r="G29" s="1359" t="s">
        <v>332</v>
      </c>
      <c r="H29" s="1365">
        <v>2421500</v>
      </c>
      <c r="I29" s="1355" t="s">
        <v>29</v>
      </c>
      <c r="J29" s="1376">
        <v>0.6</v>
      </c>
      <c r="K29" s="1355" t="s">
        <v>29</v>
      </c>
      <c r="L29" s="1373">
        <v>1</v>
      </c>
      <c r="M29" s="1355" t="s">
        <v>29</v>
      </c>
      <c r="N29" s="1377">
        <v>1</v>
      </c>
      <c r="O29" s="1357" t="s">
        <v>36</v>
      </c>
      <c r="P29" s="1363">
        <f t="shared" si="1"/>
        <v>1452900</v>
      </c>
    </row>
    <row r="30" spans="1:16" ht="15" customHeight="1">
      <c r="A30" s="321"/>
      <c r="B30" s="347"/>
      <c r="C30" s="348"/>
      <c r="D30" s="337"/>
      <c r="E30" s="336"/>
      <c r="F30" s="1035"/>
      <c r="G30" s="1359" t="s">
        <v>333</v>
      </c>
      <c r="H30" s="1365">
        <v>2331500</v>
      </c>
      <c r="I30" s="1355" t="s">
        <v>29</v>
      </c>
      <c r="J30" s="1376">
        <v>0.6</v>
      </c>
      <c r="K30" s="1355" t="s">
        <v>29</v>
      </c>
      <c r="L30" s="1373">
        <v>1</v>
      </c>
      <c r="M30" s="1355" t="s">
        <v>29</v>
      </c>
      <c r="N30" s="1377">
        <v>1</v>
      </c>
      <c r="O30" s="1357" t="s">
        <v>36</v>
      </c>
      <c r="P30" s="1363">
        <f t="shared" si="1"/>
        <v>1398900</v>
      </c>
    </row>
    <row r="31" spans="1:16" ht="15" customHeight="1">
      <c r="A31" s="321"/>
      <c r="B31" s="347"/>
      <c r="C31" s="348"/>
      <c r="D31" s="337"/>
      <c r="E31" s="336"/>
      <c r="F31" s="1035"/>
      <c r="G31" s="1390" t="s">
        <v>334</v>
      </c>
      <c r="H31" s="1365">
        <v>2421500</v>
      </c>
      <c r="I31" s="1355" t="s">
        <v>29</v>
      </c>
      <c r="J31" s="1376">
        <v>0.6</v>
      </c>
      <c r="K31" s="1355" t="s">
        <v>29</v>
      </c>
      <c r="L31" s="1373">
        <v>1</v>
      </c>
      <c r="M31" s="1355" t="s">
        <v>29</v>
      </c>
      <c r="N31" s="1377">
        <v>1</v>
      </c>
      <c r="O31" s="1357" t="s">
        <v>36</v>
      </c>
      <c r="P31" s="1363">
        <f t="shared" si="1"/>
        <v>1452900</v>
      </c>
    </row>
    <row r="32" spans="1:16" ht="15" customHeight="1">
      <c r="A32" s="321"/>
      <c r="B32" s="347"/>
      <c r="C32" s="348"/>
      <c r="D32" s="337"/>
      <c r="E32" s="336"/>
      <c r="F32" s="1035"/>
      <c r="G32" s="1390" t="s">
        <v>335</v>
      </c>
      <c r="H32" s="1365">
        <v>2065600</v>
      </c>
      <c r="I32" s="1355" t="s">
        <v>29</v>
      </c>
      <c r="J32" s="1376">
        <v>0.6</v>
      </c>
      <c r="K32" s="1355" t="s">
        <v>29</v>
      </c>
      <c r="L32" s="1373">
        <v>1</v>
      </c>
      <c r="M32" s="1355" t="s">
        <v>29</v>
      </c>
      <c r="N32" s="1377">
        <v>1</v>
      </c>
      <c r="O32" s="1357" t="s">
        <v>36</v>
      </c>
      <c r="P32" s="1363">
        <f t="shared" si="1"/>
        <v>1239360</v>
      </c>
    </row>
    <row r="33" spans="1:16" ht="15" customHeight="1">
      <c r="A33" s="321"/>
      <c r="B33" s="347"/>
      <c r="C33" s="348"/>
      <c r="D33" s="337"/>
      <c r="E33" s="336"/>
      <c r="F33" s="1035"/>
      <c r="G33" s="1390" t="s">
        <v>336</v>
      </c>
      <c r="H33" s="1365">
        <v>2265800</v>
      </c>
      <c r="I33" s="1355" t="s">
        <v>29</v>
      </c>
      <c r="J33" s="1376">
        <v>0.6</v>
      </c>
      <c r="K33" s="1355" t="s">
        <v>29</v>
      </c>
      <c r="L33" s="1373">
        <v>1</v>
      </c>
      <c r="M33" s="1355" t="s">
        <v>29</v>
      </c>
      <c r="N33" s="1377">
        <v>1</v>
      </c>
      <c r="O33" s="1357" t="s">
        <v>36</v>
      </c>
      <c r="P33" s="1363">
        <f t="shared" si="1"/>
        <v>1359480</v>
      </c>
    </row>
    <row r="34" spans="1:16" ht="15" customHeight="1">
      <c r="A34" s="321"/>
      <c r="B34" s="347"/>
      <c r="C34" s="348"/>
      <c r="D34" s="337"/>
      <c r="E34" s="336"/>
      <c r="F34" s="1035"/>
      <c r="G34" s="1358" t="s">
        <v>58</v>
      </c>
      <c r="H34" s="1360"/>
      <c r="I34" s="1355"/>
      <c r="J34" s="1376"/>
      <c r="K34" s="1355"/>
      <c r="L34" s="1373"/>
      <c r="M34" s="1355"/>
      <c r="N34" s="1377"/>
      <c r="O34" s="1357"/>
      <c r="P34" s="1372">
        <f>SUM(P35:P43)</f>
        <v>16735650</v>
      </c>
    </row>
    <row r="35" spans="1:16" ht="15" customHeight="1">
      <c r="A35" s="321"/>
      <c r="B35" s="347"/>
      <c r="C35" s="348"/>
      <c r="D35" s="337"/>
      <c r="E35" s="336"/>
      <c r="F35" s="1035"/>
      <c r="G35" s="1359" t="s">
        <v>328</v>
      </c>
      <c r="H35" s="1360">
        <v>343220</v>
      </c>
      <c r="I35" s="1386"/>
      <c r="J35" s="1376"/>
      <c r="K35" s="1356"/>
      <c r="L35" s="1386"/>
      <c r="M35" s="1386" t="s">
        <v>29</v>
      </c>
      <c r="N35" s="1357">
        <v>12</v>
      </c>
      <c r="O35" s="1357" t="s">
        <v>36</v>
      </c>
      <c r="P35" s="1393">
        <v>4118640</v>
      </c>
    </row>
    <row r="36" spans="1:16" ht="15" customHeight="1">
      <c r="A36" s="321"/>
      <c r="B36" s="347"/>
      <c r="C36" s="348"/>
      <c r="D36" s="337"/>
      <c r="E36" s="336"/>
      <c r="F36" s="1035"/>
      <c r="G36" s="1358" t="s">
        <v>329</v>
      </c>
      <c r="H36" s="1360">
        <v>292060</v>
      </c>
      <c r="I36" s="1386"/>
      <c r="J36" s="1376"/>
      <c r="K36" s="1356"/>
      <c r="L36" s="1386"/>
      <c r="M36" s="1386" t="s">
        <v>29</v>
      </c>
      <c r="N36" s="1357">
        <v>10</v>
      </c>
      <c r="O36" s="1357" t="s">
        <v>36</v>
      </c>
      <c r="P36" s="1394">
        <v>2920600</v>
      </c>
    </row>
    <row r="37" spans="1:16" ht="15" customHeight="1">
      <c r="A37" s="321"/>
      <c r="B37" s="347"/>
      <c r="C37" s="348"/>
      <c r="D37" s="337"/>
      <c r="E37" s="336"/>
      <c r="F37" s="1035"/>
      <c r="G37" s="1358" t="s">
        <v>330</v>
      </c>
      <c r="H37" s="1360">
        <v>302300</v>
      </c>
      <c r="I37" s="1386"/>
      <c r="J37" s="1376"/>
      <c r="K37" s="1356"/>
      <c r="L37" s="1389"/>
      <c r="M37" s="1386" t="s">
        <v>29</v>
      </c>
      <c r="N37" s="1357">
        <v>2</v>
      </c>
      <c r="O37" s="1357" t="s">
        <v>36</v>
      </c>
      <c r="P37" s="1394">
        <v>604600</v>
      </c>
    </row>
    <row r="38" spans="1:16" ht="15" customHeight="1">
      <c r="A38" s="321"/>
      <c r="B38" s="347"/>
      <c r="C38" s="348"/>
      <c r="D38" s="337"/>
      <c r="E38" s="336"/>
      <c r="F38" s="1035"/>
      <c r="G38" s="1358" t="s">
        <v>331</v>
      </c>
      <c r="H38" s="1365">
        <v>250990</v>
      </c>
      <c r="I38" s="1386"/>
      <c r="J38" s="1379"/>
      <c r="K38" s="1367"/>
      <c r="L38" s="1387"/>
      <c r="M38" s="1386" t="s">
        <v>29</v>
      </c>
      <c r="N38" s="1369">
        <v>2</v>
      </c>
      <c r="O38" s="1369" t="s">
        <v>36</v>
      </c>
      <c r="P38" s="1393">
        <v>501980</v>
      </c>
    </row>
    <row r="39" spans="1:16" ht="15" customHeight="1">
      <c r="A39" s="321"/>
      <c r="B39" s="338"/>
      <c r="C39" s="348"/>
      <c r="D39" s="337"/>
      <c r="E39" s="336"/>
      <c r="F39" s="1035"/>
      <c r="G39" s="1359" t="s">
        <v>332</v>
      </c>
      <c r="H39" s="1365">
        <v>260680</v>
      </c>
      <c r="I39" s="1386"/>
      <c r="J39" s="1379"/>
      <c r="K39" s="1367"/>
      <c r="L39" s="1387"/>
      <c r="M39" s="1386" t="s">
        <v>29</v>
      </c>
      <c r="N39" s="1369">
        <v>10</v>
      </c>
      <c r="O39" s="1369" t="s">
        <v>36</v>
      </c>
      <c r="P39" s="1393">
        <v>2606800</v>
      </c>
    </row>
    <row r="40" spans="1:16" ht="15" customHeight="1">
      <c r="A40" s="321"/>
      <c r="B40" s="338"/>
      <c r="C40" s="348"/>
      <c r="D40" s="337"/>
      <c r="E40" s="336"/>
      <c r="F40" s="1035"/>
      <c r="G40" s="1359" t="s">
        <v>333</v>
      </c>
      <c r="H40" s="1365">
        <v>250990</v>
      </c>
      <c r="I40" s="1386"/>
      <c r="J40" s="1379"/>
      <c r="K40" s="1367"/>
      <c r="L40" s="1387"/>
      <c r="M40" s="1386" t="s">
        <v>29</v>
      </c>
      <c r="N40" s="1369">
        <v>3</v>
      </c>
      <c r="O40" s="1369" t="s">
        <v>36</v>
      </c>
      <c r="P40" s="1393">
        <v>752970</v>
      </c>
    </row>
    <row r="41" spans="1:16" ht="15" customHeight="1">
      <c r="A41" s="321"/>
      <c r="B41" s="338"/>
      <c r="C41" s="348"/>
      <c r="D41" s="337"/>
      <c r="E41" s="336"/>
      <c r="F41" s="1035"/>
      <c r="G41" s="1390" t="s">
        <v>334</v>
      </c>
      <c r="H41" s="1360">
        <v>260680</v>
      </c>
      <c r="I41" s="1386"/>
      <c r="J41" s="1376"/>
      <c r="K41" s="1356"/>
      <c r="L41" s="1389"/>
      <c r="M41" s="1386" t="s">
        <v>29</v>
      </c>
      <c r="N41" s="1369">
        <v>9</v>
      </c>
      <c r="O41" s="1357" t="s">
        <v>36</v>
      </c>
      <c r="P41" s="1394">
        <v>2346120</v>
      </c>
    </row>
    <row r="42" spans="1:16" ht="15" customHeight="1">
      <c r="A42" s="321"/>
      <c r="B42" s="347"/>
      <c r="C42" s="348"/>
      <c r="D42" s="337"/>
      <c r="E42" s="336"/>
      <c r="F42" s="1035"/>
      <c r="G42" s="1390" t="s">
        <v>335</v>
      </c>
      <c r="H42" s="1360">
        <v>222370</v>
      </c>
      <c r="I42" s="1386"/>
      <c r="J42" s="1376"/>
      <c r="K42" s="1356"/>
      <c r="L42" s="1386"/>
      <c r="M42" s="1386" t="s">
        <v>29</v>
      </c>
      <c r="N42" s="1369">
        <v>2</v>
      </c>
      <c r="O42" s="1357" t="s">
        <v>36</v>
      </c>
      <c r="P42" s="1394">
        <v>444740</v>
      </c>
    </row>
    <row r="43" spans="1:16" ht="15" customHeight="1">
      <c r="A43" s="321"/>
      <c r="B43" s="347"/>
      <c r="C43" s="348"/>
      <c r="D43" s="337"/>
      <c r="E43" s="336"/>
      <c r="F43" s="1035"/>
      <c r="G43" s="1390" t="s">
        <v>336</v>
      </c>
      <c r="H43" s="1360">
        <v>243920</v>
      </c>
      <c r="I43" s="1386"/>
      <c r="J43" s="1379"/>
      <c r="K43" s="1367"/>
      <c r="L43" s="1391"/>
      <c r="M43" s="1386" t="s">
        <v>29</v>
      </c>
      <c r="N43" s="1369">
        <v>10</v>
      </c>
      <c r="O43" s="1369" t="s">
        <v>36</v>
      </c>
      <c r="P43" s="1394">
        <v>2439200</v>
      </c>
    </row>
    <row r="44" spans="1:16" ht="15" customHeight="1">
      <c r="A44" s="321"/>
      <c r="B44" s="349"/>
      <c r="C44" s="350" t="s">
        <v>12</v>
      </c>
      <c r="D44" s="340">
        <v>16469120</v>
      </c>
      <c r="E44" s="305">
        <f>P45</f>
        <v>26176960</v>
      </c>
      <c r="F44" s="986">
        <f>E44-D44</f>
        <v>9707840</v>
      </c>
      <c r="G44" s="341"/>
      <c r="H44" s="307"/>
      <c r="I44" s="1271"/>
      <c r="J44" s="342"/>
      <c r="K44" s="1271"/>
      <c r="L44" s="307"/>
      <c r="M44" s="1271"/>
      <c r="N44" s="559"/>
      <c r="O44" s="559"/>
      <c r="P44" s="1017"/>
    </row>
    <row r="45" spans="1:16" ht="15" customHeight="1">
      <c r="A45" s="321"/>
      <c r="B45" s="349"/>
      <c r="C45" s="351"/>
      <c r="D45" s="337"/>
      <c r="E45" s="305"/>
      <c r="F45" s="986"/>
      <c r="G45" s="1336" t="s">
        <v>236</v>
      </c>
      <c r="H45" s="1610">
        <f>P9+P20+P25+P34</f>
        <v>189019330</v>
      </c>
      <c r="I45" s="1610"/>
      <c r="J45" s="1335"/>
      <c r="K45" s="1334" t="s">
        <v>29</v>
      </c>
      <c r="L45" s="1"/>
      <c r="M45" s="1270"/>
      <c r="N45" s="2">
        <v>12</v>
      </c>
      <c r="O45" s="1333" t="s">
        <v>36</v>
      </c>
      <c r="P45" s="1332">
        <f>ROUNDUP((H45/12),-1)+10425340</f>
        <v>26176960</v>
      </c>
    </row>
    <row r="46" spans="1:16" ht="15" customHeight="1">
      <c r="A46" s="321"/>
      <c r="B46" s="349"/>
      <c r="C46" s="351" t="s">
        <v>342</v>
      </c>
      <c r="D46" s="340">
        <v>21222440</v>
      </c>
      <c r="E46" s="514">
        <f>SUM(P47:P51)</f>
        <v>20124710</v>
      </c>
      <c r="F46" s="986">
        <f>E46-D46</f>
        <v>-1097730</v>
      </c>
      <c r="G46" s="341"/>
      <c r="H46" s="307"/>
      <c r="I46" s="1271"/>
      <c r="J46" s="342"/>
      <c r="K46" s="1271"/>
      <c r="L46" s="307"/>
      <c r="M46" s="1271"/>
      <c r="N46" s="559"/>
      <c r="O46" s="559"/>
      <c r="P46" s="363"/>
    </row>
    <row r="47" spans="1:16" ht="15" customHeight="1">
      <c r="A47" s="321"/>
      <c r="B47" s="349"/>
      <c r="C47" s="354"/>
      <c r="D47" s="356"/>
      <c r="E47" s="355"/>
      <c r="F47" s="1036"/>
      <c r="G47" s="1244" t="s">
        <v>188</v>
      </c>
      <c r="H47" s="1608">
        <f>H45+11150000</f>
        <v>200169330</v>
      </c>
      <c r="I47" s="1608"/>
      <c r="J47" s="1246" t="s">
        <v>29</v>
      </c>
      <c r="K47" s="1266"/>
      <c r="L47" s="1609">
        <v>4.4999999999999998E-2</v>
      </c>
      <c r="M47" s="1609"/>
      <c r="N47" s="1609"/>
      <c r="O47" s="1248" t="s">
        <v>36</v>
      </c>
      <c r="P47" s="344">
        <f>ROUNDUP((H47*L47),-1)</f>
        <v>9007620</v>
      </c>
    </row>
    <row r="48" spans="1:16" ht="15" customHeight="1">
      <c r="A48" s="321"/>
      <c r="B48" s="338"/>
      <c r="C48" s="338"/>
      <c r="D48" s="330"/>
      <c r="E48" s="358"/>
      <c r="F48" s="987"/>
      <c r="G48" s="1244" t="s">
        <v>198</v>
      </c>
      <c r="H48" s="1606">
        <f>H47</f>
        <v>200169330</v>
      </c>
      <c r="I48" s="1606"/>
      <c r="J48" s="1246" t="s">
        <v>29</v>
      </c>
      <c r="K48" s="1266"/>
      <c r="L48" s="1605">
        <v>3.4950000000000002E-2</v>
      </c>
      <c r="M48" s="1605"/>
      <c r="N48" s="1605"/>
      <c r="O48" s="1248" t="s">
        <v>36</v>
      </c>
      <c r="P48" s="344">
        <f>ROUNDUP((H48*L48),-1)</f>
        <v>6995920</v>
      </c>
    </row>
    <row r="49" spans="1:16" ht="15" customHeight="1">
      <c r="A49" s="321"/>
      <c r="B49" s="347"/>
      <c r="C49" s="347"/>
      <c r="D49" s="330"/>
      <c r="E49" s="358"/>
      <c r="F49" s="987"/>
      <c r="G49" s="1244" t="s">
        <v>195</v>
      </c>
      <c r="H49" s="1606">
        <f>P48</f>
        <v>6995920</v>
      </c>
      <c r="I49" s="1606"/>
      <c r="J49" s="1246" t="s">
        <v>29</v>
      </c>
      <c r="K49" s="1266"/>
      <c r="L49" s="1605">
        <v>0.1227</v>
      </c>
      <c r="M49" s="1605"/>
      <c r="N49" s="1605"/>
      <c r="O49" s="1248" t="s">
        <v>36</v>
      </c>
      <c r="P49" s="344">
        <f>ROUNDUP((H49*L49),-1)</f>
        <v>858400</v>
      </c>
    </row>
    <row r="50" spans="1:16" ht="15" customHeight="1">
      <c r="A50" s="321"/>
      <c r="B50" s="347"/>
      <c r="C50" s="357"/>
      <c r="D50" s="330"/>
      <c r="E50" s="358"/>
      <c r="F50" s="987"/>
      <c r="G50" s="1244" t="s">
        <v>203</v>
      </c>
      <c r="H50" s="1606">
        <f>H48</f>
        <v>200169330</v>
      </c>
      <c r="I50" s="1606"/>
      <c r="J50" s="1246" t="s">
        <v>29</v>
      </c>
      <c r="K50" s="1266"/>
      <c r="L50" s="1605">
        <v>1.0500000000000001E-2</v>
      </c>
      <c r="M50" s="1605"/>
      <c r="N50" s="1605"/>
      <c r="O50" s="1248" t="s">
        <v>36</v>
      </c>
      <c r="P50" s="344">
        <f>ROUNDUP((H50*L50),-1)</f>
        <v>2101780</v>
      </c>
    </row>
    <row r="51" spans="1:16" ht="15" customHeight="1">
      <c r="A51" s="321"/>
      <c r="B51" s="359"/>
      <c r="C51" s="338"/>
      <c r="D51" s="330"/>
      <c r="E51" s="358"/>
      <c r="F51" s="987"/>
      <c r="G51" s="1244" t="s">
        <v>184</v>
      </c>
      <c r="H51" s="1606">
        <f>H50</f>
        <v>200169330</v>
      </c>
      <c r="I51" s="1606"/>
      <c r="J51" s="1246" t="s">
        <v>29</v>
      </c>
      <c r="K51" s="1266"/>
      <c r="L51" s="1607">
        <v>5.7999999999999996E-3</v>
      </c>
      <c r="M51" s="1607"/>
      <c r="N51" s="1607"/>
      <c r="O51" s="1248" t="s">
        <v>36</v>
      </c>
      <c r="P51" s="344">
        <f>ROUNDUP((H51*L51),-1)</f>
        <v>1160990</v>
      </c>
    </row>
    <row r="52" spans="1:16" ht="15" customHeight="1">
      <c r="A52" s="360"/>
      <c r="B52" s="361" t="s">
        <v>205</v>
      </c>
      <c r="C52" s="362" t="s">
        <v>193</v>
      </c>
      <c r="D52" s="142">
        <f>SUM(D53:D64)</f>
        <v>12500000</v>
      </c>
      <c r="E52" s="305">
        <f>SUM(E53:E64)</f>
        <v>12500000</v>
      </c>
      <c r="F52" s="986">
        <f>SUM(F53:F64)</f>
        <v>0</v>
      </c>
      <c r="G52" s="341"/>
      <c r="H52" s="307"/>
      <c r="I52" s="1271"/>
      <c r="J52" s="342"/>
      <c r="K52" s="1271"/>
      <c r="L52" s="307">
        <v>200</v>
      </c>
      <c r="M52" s="1271"/>
      <c r="N52" s="559"/>
      <c r="O52" s="559"/>
      <c r="P52" s="363"/>
    </row>
    <row r="53" spans="1:16" ht="15" customHeight="1">
      <c r="A53" s="360"/>
      <c r="B53" s="364"/>
      <c r="C53" s="351" t="s">
        <v>156</v>
      </c>
      <c r="D53" s="365">
        <v>9140000</v>
      </c>
      <c r="E53" s="305">
        <f>SUM(P54:P60)</f>
        <v>9140000</v>
      </c>
      <c r="F53" s="986">
        <f>E53-D53</f>
        <v>0</v>
      </c>
      <c r="G53" s="366"/>
      <c r="H53" s="367"/>
      <c r="I53" s="1269"/>
      <c r="J53" s="368"/>
      <c r="K53" s="1269"/>
      <c r="L53" s="367"/>
      <c r="M53" s="1269"/>
      <c r="N53" s="369"/>
      <c r="O53" s="369"/>
      <c r="P53" s="370"/>
    </row>
    <row r="54" spans="1:16" ht="15" customHeight="1">
      <c r="A54" s="360"/>
      <c r="B54" s="364"/>
      <c r="C54" s="338"/>
      <c r="D54" s="224"/>
      <c r="E54" s="145"/>
      <c r="F54" s="996"/>
      <c r="G54" s="372" t="s">
        <v>229</v>
      </c>
      <c r="H54" s="367">
        <v>150000</v>
      </c>
      <c r="I54" s="132"/>
      <c r="J54" s="132"/>
      <c r="K54" s="1614"/>
      <c r="L54" s="1614"/>
      <c r="M54" s="132" t="s">
        <v>29</v>
      </c>
      <c r="N54" s="369">
        <v>12</v>
      </c>
      <c r="O54" s="369" t="s">
        <v>36</v>
      </c>
      <c r="P54" s="332">
        <f>H54*N54</f>
        <v>1800000</v>
      </c>
    </row>
    <row r="55" spans="1:16" ht="15" customHeight="1">
      <c r="A55" s="360"/>
      <c r="B55" s="364"/>
      <c r="C55" s="338"/>
      <c r="D55" s="224"/>
      <c r="E55" s="145"/>
      <c r="F55" s="996"/>
      <c r="G55" s="373" t="s">
        <v>136</v>
      </c>
      <c r="H55" s="1245">
        <v>75000</v>
      </c>
      <c r="I55" s="1246"/>
      <c r="J55" s="1246"/>
      <c r="K55" s="1617"/>
      <c r="L55" s="1617"/>
      <c r="M55" s="1246" t="s">
        <v>29</v>
      </c>
      <c r="N55" s="1248">
        <v>12</v>
      </c>
      <c r="O55" s="1248" t="s">
        <v>36</v>
      </c>
      <c r="P55" s="344">
        <f>H55*N55</f>
        <v>900000</v>
      </c>
    </row>
    <row r="56" spans="1:16" ht="15" customHeight="1">
      <c r="A56" s="360"/>
      <c r="B56" s="364"/>
      <c r="C56" s="338"/>
      <c r="D56" s="224"/>
      <c r="E56" s="145"/>
      <c r="F56" s="996"/>
      <c r="G56" s="373" t="s">
        <v>216</v>
      </c>
      <c r="H56" s="1245">
        <v>19000</v>
      </c>
      <c r="I56" s="1246"/>
      <c r="J56" s="1246" t="s">
        <v>29</v>
      </c>
      <c r="K56" s="1618">
        <v>10</v>
      </c>
      <c r="L56" s="1618"/>
      <c r="M56" s="1246" t="s">
        <v>29</v>
      </c>
      <c r="N56" s="1248">
        <v>4</v>
      </c>
      <c r="O56" s="1248" t="s">
        <v>36</v>
      </c>
      <c r="P56" s="344">
        <f>H56*K56*N56</f>
        <v>760000</v>
      </c>
    </row>
    <row r="57" spans="1:16" ht="15" customHeight="1">
      <c r="A57" s="360"/>
      <c r="B57" s="374"/>
      <c r="C57" s="338"/>
      <c r="D57" s="224"/>
      <c r="E57" s="145"/>
      <c r="F57" s="996"/>
      <c r="G57" s="373" t="s">
        <v>277</v>
      </c>
      <c r="H57" s="1245">
        <v>80000</v>
      </c>
      <c r="I57" s="1246"/>
      <c r="J57" s="1246" t="s">
        <v>29</v>
      </c>
      <c r="K57" s="1621">
        <v>3</v>
      </c>
      <c r="L57" s="1621"/>
      <c r="M57" s="1246" t="s">
        <v>29</v>
      </c>
      <c r="N57" s="1248">
        <v>5</v>
      </c>
      <c r="O57" s="1248" t="s">
        <v>36</v>
      </c>
      <c r="P57" s="344">
        <f>H57*N57*K57+40000</f>
        <v>1240000</v>
      </c>
    </row>
    <row r="58" spans="1:16" ht="15" customHeight="1">
      <c r="A58" s="360"/>
      <c r="B58" s="374"/>
      <c r="C58" s="338"/>
      <c r="D58" s="224"/>
      <c r="E58" s="145"/>
      <c r="F58" s="996"/>
      <c r="G58" s="373" t="s">
        <v>150</v>
      </c>
      <c r="H58" s="1245">
        <v>2500000</v>
      </c>
      <c r="I58" s="1246"/>
      <c r="J58" s="1246"/>
      <c r="K58" s="1620"/>
      <c r="L58" s="1620"/>
      <c r="M58" s="1268" t="s">
        <v>29</v>
      </c>
      <c r="N58" s="1248">
        <v>1</v>
      </c>
      <c r="O58" s="1248" t="s">
        <v>36</v>
      </c>
      <c r="P58" s="344">
        <f>(H58*N58)</f>
        <v>2500000</v>
      </c>
    </row>
    <row r="59" spans="1:16" ht="15" customHeight="1">
      <c r="A59" s="360"/>
      <c r="B59" s="374"/>
      <c r="C59" s="338"/>
      <c r="D59" s="224"/>
      <c r="E59" s="145"/>
      <c r="F59" s="996"/>
      <c r="G59" s="373" t="s">
        <v>175</v>
      </c>
      <c r="H59" s="1245">
        <v>150000</v>
      </c>
      <c r="I59" s="1246"/>
      <c r="J59" s="1246"/>
      <c r="K59" s="1617"/>
      <c r="L59" s="1617"/>
      <c r="M59" s="1246" t="s">
        <v>29</v>
      </c>
      <c r="N59" s="1248">
        <v>6</v>
      </c>
      <c r="O59" s="1248" t="s">
        <v>36</v>
      </c>
      <c r="P59" s="344">
        <f>H59*N59</f>
        <v>900000</v>
      </c>
    </row>
    <row r="60" spans="1:16" ht="15" customHeight="1">
      <c r="A60" s="360"/>
      <c r="B60" s="374"/>
      <c r="C60" s="338"/>
      <c r="D60" s="224"/>
      <c r="E60" s="145"/>
      <c r="F60" s="996"/>
      <c r="G60" s="373" t="s">
        <v>137</v>
      </c>
      <c r="H60" s="1245">
        <v>174000</v>
      </c>
      <c r="I60" s="1246"/>
      <c r="J60" s="1246"/>
      <c r="K60" s="1617"/>
      <c r="L60" s="1617"/>
      <c r="M60" s="1246" t="s">
        <v>29</v>
      </c>
      <c r="N60" s="1248">
        <v>6</v>
      </c>
      <c r="O60" s="1248" t="s">
        <v>36</v>
      </c>
      <c r="P60" s="344">
        <f>H60*N60-4000</f>
        <v>1040000</v>
      </c>
    </row>
    <row r="61" spans="1:16" ht="15" customHeight="1">
      <c r="A61" s="360"/>
      <c r="B61" s="374"/>
      <c r="C61" s="304" t="s">
        <v>217</v>
      </c>
      <c r="D61" s="142">
        <v>3360000</v>
      </c>
      <c r="E61" s="305">
        <f>P62</f>
        <v>3360000</v>
      </c>
      <c r="F61" s="986">
        <f>E61-D61</f>
        <v>0</v>
      </c>
      <c r="G61" s="341"/>
      <c r="H61" s="307"/>
      <c r="I61" s="1271"/>
      <c r="J61" s="342"/>
      <c r="K61" s="1271"/>
      <c r="L61" s="307"/>
      <c r="M61" s="1271"/>
      <c r="N61" s="559"/>
      <c r="O61" s="559"/>
      <c r="P61" s="363"/>
    </row>
    <row r="62" spans="1:16" ht="15" customHeight="1">
      <c r="A62" s="360"/>
      <c r="B62" s="374"/>
      <c r="C62" s="349"/>
      <c r="D62" s="356"/>
      <c r="E62" s="355"/>
      <c r="F62" s="1037"/>
      <c r="G62" s="375" t="s">
        <v>204</v>
      </c>
      <c r="H62" s="367"/>
      <c r="I62" s="1269"/>
      <c r="J62" s="376"/>
      <c r="K62" s="1269"/>
      <c r="L62" s="377"/>
      <c r="M62" s="1269"/>
      <c r="N62" s="369"/>
      <c r="O62" s="369"/>
      <c r="P62" s="332">
        <f>SUM(P63:P64)</f>
        <v>3360000</v>
      </c>
    </row>
    <row r="63" spans="1:16" ht="15" customHeight="1">
      <c r="A63" s="360"/>
      <c r="B63" s="374"/>
      <c r="C63" s="349"/>
      <c r="D63" s="356"/>
      <c r="E63" s="355"/>
      <c r="F63" s="1037"/>
      <c r="G63" s="378" t="s">
        <v>66</v>
      </c>
      <c r="H63" s="1245">
        <v>1350</v>
      </c>
      <c r="I63" s="1246"/>
      <c r="J63" s="379"/>
      <c r="K63" s="1246"/>
      <c r="L63" s="1246" t="s">
        <v>29</v>
      </c>
      <c r="M63" s="1246"/>
      <c r="N63" s="380">
        <v>1200</v>
      </c>
      <c r="O63" s="1248" t="s">
        <v>36</v>
      </c>
      <c r="P63" s="381">
        <f>H63*N63</f>
        <v>1620000</v>
      </c>
    </row>
    <row r="64" spans="1:16" ht="15" customHeight="1">
      <c r="A64" s="360"/>
      <c r="B64" s="374"/>
      <c r="C64" s="382"/>
      <c r="D64" s="383"/>
      <c r="E64" s="515"/>
      <c r="F64" s="1038"/>
      <c r="G64" s="384" t="s">
        <v>62</v>
      </c>
      <c r="H64" s="385">
        <v>1450</v>
      </c>
      <c r="I64" s="595"/>
      <c r="J64" s="386"/>
      <c r="K64" s="595"/>
      <c r="L64" s="595" t="s">
        <v>29</v>
      </c>
      <c r="M64" s="595"/>
      <c r="N64" s="387">
        <v>1200</v>
      </c>
      <c r="O64" s="388" t="s">
        <v>36</v>
      </c>
      <c r="P64" s="389">
        <f>H64*N64</f>
        <v>1740000</v>
      </c>
    </row>
    <row r="65" spans="1:16" s="1025" customFormat="1" ht="15" customHeight="1">
      <c r="A65" s="1018" t="s">
        <v>122</v>
      </c>
      <c r="B65" s="1591" t="s">
        <v>193</v>
      </c>
      <c r="C65" s="1592"/>
      <c r="D65" s="164">
        <f>D66</f>
        <v>0</v>
      </c>
      <c r="E65" s="1019">
        <f>E66</f>
        <v>0</v>
      </c>
      <c r="F65" s="985">
        <f>F66</f>
        <v>0</v>
      </c>
      <c r="G65" s="1020"/>
      <c r="H65" s="1021"/>
      <c r="I65" s="1022"/>
      <c r="J65" s="1023"/>
      <c r="K65" s="1022"/>
      <c r="L65" s="1021"/>
      <c r="M65" s="1022"/>
      <c r="N65" s="1024"/>
      <c r="O65" s="1024"/>
      <c r="P65" s="560"/>
    </row>
    <row r="66" spans="1:16" ht="15" customHeight="1">
      <c r="A66" s="392"/>
      <c r="B66" s="361" t="s">
        <v>182</v>
      </c>
      <c r="C66" s="393" t="s">
        <v>193</v>
      </c>
      <c r="D66" s="239">
        <f>SUM(D67:D68)</f>
        <v>0</v>
      </c>
      <c r="E66" s="416">
        <f>SUM(E67:E68)</f>
        <v>0</v>
      </c>
      <c r="F66" s="1039">
        <f>E66-D66</f>
        <v>0</v>
      </c>
      <c r="G66" s="394"/>
      <c r="H66" s="367"/>
      <c r="I66" s="1269"/>
      <c r="J66" s="367"/>
      <c r="K66" s="1271"/>
      <c r="L66" s="307"/>
      <c r="M66" s="1271"/>
      <c r="N66" s="395"/>
      <c r="O66" s="559"/>
      <c r="P66" s="396"/>
    </row>
    <row r="67" spans="1:16" ht="15" customHeight="1">
      <c r="A67" s="397"/>
      <c r="B67" s="364"/>
      <c r="C67" s="304" t="s">
        <v>140</v>
      </c>
      <c r="D67" s="1026">
        <v>0</v>
      </c>
      <c r="E67" s="517">
        <f>SUM(P68:P68)</f>
        <v>0</v>
      </c>
      <c r="F67" s="986">
        <f>E67-D67</f>
        <v>0</v>
      </c>
      <c r="G67" s="221"/>
      <c r="H67" s="307"/>
      <c r="I67" s="544"/>
      <c r="J67" s="544"/>
      <c r="K67" s="1271"/>
      <c r="L67" s="307"/>
      <c r="M67" s="1271"/>
      <c r="N67" s="398"/>
      <c r="O67" s="559"/>
      <c r="P67" s="560"/>
    </row>
    <row r="68" spans="1:16" ht="15" customHeight="1">
      <c r="A68" s="399"/>
      <c r="B68" s="400"/>
      <c r="C68" s="401"/>
      <c r="D68" s="1026"/>
      <c r="E68" s="517"/>
      <c r="F68" s="986"/>
      <c r="G68" s="402"/>
      <c r="H68" s="307"/>
      <c r="I68" s="544"/>
      <c r="J68" s="544"/>
      <c r="K68" s="1619"/>
      <c r="L68" s="1619"/>
      <c r="M68" s="544"/>
      <c r="N68" s="559"/>
      <c r="O68" s="559"/>
      <c r="P68" s="403"/>
    </row>
    <row r="69" spans="1:16">
      <c r="A69" s="390" t="s">
        <v>227</v>
      </c>
      <c r="B69" s="1615" t="s">
        <v>193</v>
      </c>
      <c r="C69" s="1616"/>
      <c r="D69" s="1027">
        <f>SUM(D70)</f>
        <v>0</v>
      </c>
      <c r="E69" s="1028">
        <f>SUM(E70)</f>
        <v>0</v>
      </c>
      <c r="F69" s="1040">
        <f>E69-D69</f>
        <v>0</v>
      </c>
      <c r="G69" s="445"/>
      <c r="H69" s="385"/>
      <c r="I69" s="595"/>
      <c r="J69" s="1029"/>
      <c r="K69" s="426"/>
      <c r="L69" s="385"/>
      <c r="M69" s="426"/>
      <c r="N69" s="388"/>
      <c r="O69" s="388"/>
      <c r="P69" s="428"/>
    </row>
    <row r="70" spans="1:16">
      <c r="A70" s="404"/>
      <c r="B70" s="351" t="s">
        <v>221</v>
      </c>
      <c r="C70" s="362" t="s">
        <v>189</v>
      </c>
      <c r="D70" s="365">
        <f>SUM(D71)</f>
        <v>0</v>
      </c>
      <c r="E70" s="516">
        <f>SUM(E71)</f>
        <v>0</v>
      </c>
      <c r="F70" s="1000">
        <f>SUM(F72:F72)</f>
        <v>0</v>
      </c>
      <c r="G70" s="1030"/>
      <c r="H70" s="1030"/>
      <c r="I70" s="1030"/>
      <c r="J70" s="1030"/>
      <c r="K70" s="1030"/>
      <c r="L70" s="1030"/>
      <c r="M70" s="1030"/>
      <c r="N70" s="1030"/>
      <c r="O70" s="1030"/>
      <c r="P70" s="1031"/>
    </row>
    <row r="71" spans="1:16">
      <c r="A71" s="360"/>
      <c r="B71" s="349"/>
      <c r="C71" s="435" t="s">
        <v>132</v>
      </c>
      <c r="D71" s="329">
        <v>0</v>
      </c>
      <c r="E71" s="1331">
        <f>P72</f>
        <v>0</v>
      </c>
      <c r="F71" s="1330"/>
      <c r="G71" s="1329"/>
      <c r="H71" s="1329"/>
      <c r="I71" s="1329"/>
      <c r="J71" s="1329"/>
      <c r="K71" s="1329"/>
      <c r="L71" s="1329"/>
      <c r="M71" s="1329"/>
      <c r="N71" s="1329"/>
      <c r="O71" s="1329"/>
      <c r="P71" s="1328"/>
    </row>
    <row r="72" spans="1:16">
      <c r="A72" s="405"/>
      <c r="B72" s="406"/>
      <c r="C72" s="523"/>
      <c r="D72" s="1032"/>
      <c r="E72" s="1033"/>
      <c r="F72" s="1041">
        <f>E72-D72</f>
        <v>0</v>
      </c>
      <c r="G72" s="1327"/>
      <c r="H72" s="1326"/>
      <c r="I72" s="1323"/>
      <c r="J72" s="1325"/>
      <c r="K72" s="1323"/>
      <c r="L72" s="1324"/>
      <c r="M72" s="1323"/>
      <c r="N72" s="1322"/>
      <c r="O72" s="1321"/>
      <c r="P72" s="1320"/>
    </row>
  </sheetData>
  <mergeCells count="28">
    <mergeCell ref="B65:C65"/>
    <mergeCell ref="L49:N49"/>
    <mergeCell ref="H50:I50"/>
    <mergeCell ref="K54:L54"/>
    <mergeCell ref="B69:C69"/>
    <mergeCell ref="K60:L60"/>
    <mergeCell ref="K59:L59"/>
    <mergeCell ref="K55:L55"/>
    <mergeCell ref="K56:L56"/>
    <mergeCell ref="K68:L68"/>
    <mergeCell ref="K58:L58"/>
    <mergeCell ref="K57:L57"/>
    <mergeCell ref="A1:P1"/>
    <mergeCell ref="A3:C3"/>
    <mergeCell ref="E3:E4"/>
    <mergeCell ref="F3:F4"/>
    <mergeCell ref="G3:P4"/>
    <mergeCell ref="A5:C5"/>
    <mergeCell ref="D3:D4"/>
    <mergeCell ref="L50:N50"/>
    <mergeCell ref="H51:I51"/>
    <mergeCell ref="L51:N51"/>
    <mergeCell ref="H49:I49"/>
    <mergeCell ref="H47:I47"/>
    <mergeCell ref="L47:N47"/>
    <mergeCell ref="H48:I48"/>
    <mergeCell ref="L48:N48"/>
    <mergeCell ref="H45:I45"/>
  </mergeCells>
  <phoneticPr fontId="54" type="noConversion"/>
  <pageMargins left="0.7086111307144165" right="0.7086111307144165" top="0.74763888120651245" bottom="0.74763888120651245" header="0.31486111879348755" footer="0.31486111879348755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세출예산서(시군구보조금_희망)">
    <pageSetUpPr fitToPage="1"/>
  </sheetPr>
  <dimension ref="A1:R163"/>
  <sheetViews>
    <sheetView view="pageBreakPreview" zoomScaleNormal="100" zoomScaleSheetLayoutView="100" workbookViewId="0">
      <pane ySplit="5" topLeftCell="A6" activePane="bottomLeft" state="frozen"/>
      <selection pane="bottomLeft" activeCell="N28" sqref="N28"/>
    </sheetView>
  </sheetViews>
  <sheetFormatPr defaultColWidth="8.75" defaultRowHeight="16.5"/>
  <cols>
    <col min="1" max="1" width="12" style="119" customWidth="1"/>
    <col min="2" max="2" width="11.5" style="119" bestFit="1" customWidth="1"/>
    <col min="3" max="3" width="14.125" style="119" customWidth="1"/>
    <col min="4" max="5" width="11.25" style="119" bestFit="1" customWidth="1"/>
    <col min="6" max="6" width="11.875" style="119" customWidth="1"/>
    <col min="7" max="7" width="37.125" style="119" customWidth="1"/>
    <col min="8" max="8" width="10" style="119" customWidth="1"/>
    <col min="9" max="9" width="2.25" style="119" customWidth="1"/>
    <col min="10" max="10" width="6" style="119" customWidth="1"/>
    <col min="11" max="11" width="2" style="119" customWidth="1"/>
    <col min="12" max="12" width="3.5" style="119" customWidth="1"/>
    <col min="13" max="13" width="2.375" style="119" customWidth="1"/>
    <col min="14" max="14" width="6.25" style="119" customWidth="1"/>
    <col min="15" max="15" width="1.875" style="119" customWidth="1"/>
    <col min="16" max="16" width="12.625" style="119" customWidth="1"/>
    <col min="17" max="17" width="14" style="1273" customWidth="1"/>
    <col min="18" max="18" width="13.625" style="119" bestFit="1" customWidth="1"/>
    <col min="19" max="16384" width="8.75" style="119"/>
  </cols>
  <sheetData>
    <row r="1" spans="1:18" ht="35.1" customHeight="1">
      <c r="A1" s="1611" t="s">
        <v>7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</row>
    <row r="2" spans="1:18" s="1309" customFormat="1" ht="15" customHeight="1">
      <c r="A2" s="1319" t="s">
        <v>245</v>
      </c>
      <c r="B2" s="1319"/>
      <c r="C2" s="1317"/>
      <c r="D2" s="1312"/>
      <c r="E2" s="1318"/>
      <c r="F2" s="1312"/>
      <c r="G2" s="1317"/>
      <c r="H2" s="1316"/>
      <c r="I2" s="1314"/>
      <c r="J2" s="1315"/>
      <c r="K2" s="1314"/>
      <c r="L2" s="1314"/>
      <c r="M2" s="1313"/>
      <c r="N2" s="1312"/>
      <c r="O2" s="1312"/>
      <c r="P2" s="1311" t="s">
        <v>75</v>
      </c>
    </row>
    <row r="3" spans="1:18" ht="15" customHeight="1">
      <c r="A3" s="1612" t="s">
        <v>192</v>
      </c>
      <c r="B3" s="1613"/>
      <c r="C3" s="1613"/>
      <c r="D3" s="1537" t="s">
        <v>297</v>
      </c>
      <c r="E3" s="1539" t="s">
        <v>299</v>
      </c>
      <c r="F3" s="1573" t="s">
        <v>293</v>
      </c>
      <c r="G3" s="1600" t="s">
        <v>225</v>
      </c>
      <c r="H3" s="1600"/>
      <c r="I3" s="1600"/>
      <c r="J3" s="1600"/>
      <c r="K3" s="1600"/>
      <c r="L3" s="1600"/>
      <c r="M3" s="1600"/>
      <c r="N3" s="1600"/>
      <c r="O3" s="1600"/>
      <c r="P3" s="1601"/>
    </row>
    <row r="4" spans="1:18" ht="15" customHeight="1">
      <c r="A4" s="797" t="s">
        <v>0</v>
      </c>
      <c r="B4" s="798" t="s">
        <v>2</v>
      </c>
      <c r="C4" s="798" t="s">
        <v>1</v>
      </c>
      <c r="D4" s="1538"/>
      <c r="E4" s="1540"/>
      <c r="F4" s="1625"/>
      <c r="G4" s="1603"/>
      <c r="H4" s="1603"/>
      <c r="I4" s="1603"/>
      <c r="J4" s="1603"/>
      <c r="K4" s="1603"/>
      <c r="L4" s="1603"/>
      <c r="M4" s="1603"/>
      <c r="N4" s="1603"/>
      <c r="O4" s="1603"/>
      <c r="P4" s="1604"/>
      <c r="R4" s="582"/>
    </row>
    <row r="5" spans="1:18" ht="15" customHeight="1">
      <c r="A5" s="1585" t="s">
        <v>194</v>
      </c>
      <c r="B5" s="1586"/>
      <c r="C5" s="1587"/>
      <c r="D5" s="1012">
        <f>D6+D145+D151+D160</f>
        <v>532177000</v>
      </c>
      <c r="E5" s="1012">
        <f>E6+E145+E151+E160</f>
        <v>532177000</v>
      </c>
      <c r="F5" s="984">
        <f>E5-D5</f>
        <v>0</v>
      </c>
      <c r="G5" s="800"/>
      <c r="H5" s="801"/>
      <c r="I5" s="802"/>
      <c r="J5" s="803"/>
      <c r="K5" s="802"/>
      <c r="L5" s="802"/>
      <c r="M5" s="804"/>
      <c r="N5" s="804"/>
      <c r="O5" s="805"/>
      <c r="P5" s="806"/>
      <c r="R5" s="1264"/>
    </row>
    <row r="6" spans="1:18" s="1025" customFormat="1" ht="15" customHeight="1">
      <c r="A6" s="1013" t="s">
        <v>185</v>
      </c>
      <c r="B6" s="1014" t="s">
        <v>123</v>
      </c>
      <c r="C6" s="1015"/>
      <c r="D6" s="164">
        <f>D7+D74+D80</f>
        <v>523337000</v>
      </c>
      <c r="E6" s="164">
        <f>E7+E74+E80</f>
        <v>524071500</v>
      </c>
      <c r="F6" s="1052">
        <f>E6-D6</f>
        <v>734500</v>
      </c>
      <c r="G6" s="1042"/>
      <c r="H6" s="1043"/>
      <c r="I6" s="1044"/>
      <c r="J6" s="1045"/>
      <c r="K6" s="1044"/>
      <c r="L6" s="1044"/>
      <c r="M6" s="1046"/>
      <c r="N6" s="1046"/>
      <c r="O6" s="1047"/>
      <c r="P6" s="1048"/>
      <c r="Q6" s="1273"/>
    </row>
    <row r="7" spans="1:18" ht="15" customHeight="1">
      <c r="A7" s="313"/>
      <c r="B7" s="314" t="s">
        <v>186</v>
      </c>
      <c r="C7" s="315" t="s">
        <v>3</v>
      </c>
      <c r="D7" s="239">
        <f>SUM(D8:D73)</f>
        <v>429013612</v>
      </c>
      <c r="E7" s="239">
        <f>SUM(E8:E73)</f>
        <v>429013612</v>
      </c>
      <c r="F7" s="1011">
        <f>E7-D7</f>
        <v>0</v>
      </c>
      <c r="G7" s="316"/>
      <c r="H7" s="317"/>
      <c r="I7" s="1271"/>
      <c r="J7" s="318"/>
      <c r="K7" s="1271"/>
      <c r="L7" s="1271"/>
      <c r="M7" s="1271"/>
      <c r="N7" s="319"/>
      <c r="O7" s="559"/>
      <c r="P7" s="320"/>
    </row>
    <row r="8" spans="1:18" ht="15" customHeight="1">
      <c r="A8" s="321"/>
      <c r="B8" s="322"/>
      <c r="C8" s="322" t="s">
        <v>202</v>
      </c>
      <c r="D8" s="142">
        <v>300103000</v>
      </c>
      <c r="E8" s="239">
        <f>SUM(P9)</f>
        <v>295403935</v>
      </c>
      <c r="F8" s="1009">
        <f>E8-D8</f>
        <v>-4699065</v>
      </c>
      <c r="G8" s="316"/>
      <c r="H8" s="325"/>
      <c r="I8" s="1271"/>
      <c r="J8" s="318"/>
      <c r="K8" s="1271"/>
      <c r="L8" s="1271"/>
      <c r="M8" s="1271"/>
      <c r="N8" s="319"/>
      <c r="O8" s="559"/>
      <c r="P8" s="326"/>
    </row>
    <row r="9" spans="1:18" ht="15" customHeight="1">
      <c r="A9" s="321"/>
      <c r="B9" s="327"/>
      <c r="C9" s="328"/>
      <c r="D9" s="329"/>
      <c r="E9" s="329"/>
      <c r="F9" s="1053"/>
      <c r="G9" s="1244" t="s">
        <v>241</v>
      </c>
      <c r="H9" s="1245"/>
      <c r="I9" s="1266"/>
      <c r="J9" s="331"/>
      <c r="K9" s="1266"/>
      <c r="L9" s="1245"/>
      <c r="M9" s="1266"/>
      <c r="N9" s="1248"/>
      <c r="O9" s="1248"/>
      <c r="P9" s="423">
        <f>SUM(P10:P26)</f>
        <v>295403935</v>
      </c>
    </row>
    <row r="10" spans="1:18" ht="15" customHeight="1">
      <c r="A10" s="321"/>
      <c r="B10" s="410"/>
      <c r="C10" s="333"/>
      <c r="D10" s="409"/>
      <c r="E10" s="409"/>
      <c r="F10" s="1054"/>
      <c r="G10" s="1358" t="s">
        <v>305</v>
      </c>
      <c r="H10" s="1360">
        <v>4812600</v>
      </c>
      <c r="I10" s="1355" t="s">
        <v>29</v>
      </c>
      <c r="J10" s="1361">
        <v>1</v>
      </c>
      <c r="K10" s="1356"/>
      <c r="L10" s="1355" t="s">
        <v>29</v>
      </c>
      <c r="M10" s="1362"/>
      <c r="N10" s="1357">
        <v>1</v>
      </c>
      <c r="O10" s="1357" t="s">
        <v>36</v>
      </c>
      <c r="P10" s="1363">
        <f>H10*J10*N10</f>
        <v>4812600</v>
      </c>
    </row>
    <row r="11" spans="1:18" ht="15" customHeight="1">
      <c r="A11" s="321"/>
      <c r="B11" s="410"/>
      <c r="C11" s="333"/>
      <c r="D11" s="409"/>
      <c r="E11" s="409"/>
      <c r="F11" s="1054"/>
      <c r="G11" s="1358" t="s">
        <v>341</v>
      </c>
      <c r="H11" s="1360">
        <v>4863800</v>
      </c>
      <c r="I11" s="1355" t="s">
        <v>29</v>
      </c>
      <c r="J11" s="1361">
        <v>1</v>
      </c>
      <c r="K11" s="1356"/>
      <c r="L11" s="1355" t="s">
        <v>29</v>
      </c>
      <c r="M11" s="1362"/>
      <c r="N11" s="1357">
        <v>11</v>
      </c>
      <c r="O11" s="1357" t="s">
        <v>36</v>
      </c>
      <c r="P11" s="1363">
        <f>H11*J11*N11</f>
        <v>53501800</v>
      </c>
    </row>
    <row r="12" spans="1:18" ht="15" customHeight="1">
      <c r="A12" s="321"/>
      <c r="B12" s="408"/>
      <c r="C12" s="333"/>
      <c r="D12" s="409"/>
      <c r="E12" s="409"/>
      <c r="F12" s="1054"/>
      <c r="G12" s="1358" t="s">
        <v>306</v>
      </c>
      <c r="H12" s="1360">
        <v>3663800</v>
      </c>
      <c r="I12" s="1355" t="s">
        <v>29</v>
      </c>
      <c r="J12" s="1361">
        <v>1</v>
      </c>
      <c r="K12" s="1356"/>
      <c r="L12" s="1355" t="s">
        <v>29</v>
      </c>
      <c r="M12" s="1362"/>
      <c r="N12" s="1357">
        <v>7</v>
      </c>
      <c r="O12" s="1357" t="s">
        <v>36</v>
      </c>
      <c r="P12" s="1363">
        <f t="shared" ref="P12:P23" si="0">H12*J12*N12</f>
        <v>25646600</v>
      </c>
      <c r="R12" s="1264"/>
    </row>
    <row r="13" spans="1:18" ht="15" customHeight="1">
      <c r="A13" s="321"/>
      <c r="B13" s="408"/>
      <c r="C13" s="333"/>
      <c r="D13" s="409"/>
      <c r="E13" s="409"/>
      <c r="F13" s="1054"/>
      <c r="G13" s="1358" t="s">
        <v>307</v>
      </c>
      <c r="H13" s="1360">
        <v>3730900</v>
      </c>
      <c r="I13" s="1355" t="s">
        <v>29</v>
      </c>
      <c r="J13" s="1361">
        <v>1</v>
      </c>
      <c r="K13" s="1356"/>
      <c r="L13" s="1355" t="s">
        <v>29</v>
      </c>
      <c r="M13" s="1362"/>
      <c r="N13" s="1357">
        <v>5</v>
      </c>
      <c r="O13" s="1357" t="s">
        <v>36</v>
      </c>
      <c r="P13" s="1363">
        <f t="shared" si="0"/>
        <v>18654500</v>
      </c>
      <c r="R13" s="1264"/>
    </row>
    <row r="14" spans="1:18" ht="15" customHeight="1">
      <c r="A14" s="321"/>
      <c r="B14" s="410"/>
      <c r="C14" s="333"/>
      <c r="D14" s="409"/>
      <c r="E14" s="409"/>
      <c r="F14" s="1054"/>
      <c r="G14" s="1358" t="s">
        <v>308</v>
      </c>
      <c r="H14" s="1360">
        <v>3522100</v>
      </c>
      <c r="I14" s="1355" t="s">
        <v>29</v>
      </c>
      <c r="J14" s="1361">
        <v>1</v>
      </c>
      <c r="K14" s="1356"/>
      <c r="L14" s="1355" t="s">
        <v>29</v>
      </c>
      <c r="M14" s="1362"/>
      <c r="N14" s="1357">
        <v>3</v>
      </c>
      <c r="O14" s="1357" t="s">
        <v>36</v>
      </c>
      <c r="P14" s="1364">
        <f t="shared" si="0"/>
        <v>10566300</v>
      </c>
    </row>
    <row r="15" spans="1:18" ht="15" customHeight="1">
      <c r="A15" s="321"/>
      <c r="B15" s="333"/>
      <c r="C15" s="333"/>
      <c r="D15" s="409"/>
      <c r="E15" s="409"/>
      <c r="F15" s="1054"/>
      <c r="G15" s="1358" t="s">
        <v>309</v>
      </c>
      <c r="H15" s="1360">
        <v>3594600</v>
      </c>
      <c r="I15" s="1355" t="s">
        <v>29</v>
      </c>
      <c r="J15" s="1361">
        <v>1</v>
      </c>
      <c r="K15" s="1356"/>
      <c r="L15" s="1355" t="s">
        <v>29</v>
      </c>
      <c r="M15" s="1362"/>
      <c r="N15" s="1357">
        <v>9</v>
      </c>
      <c r="O15" s="1357" t="s">
        <v>36</v>
      </c>
      <c r="P15" s="1364">
        <f t="shared" si="0"/>
        <v>32351400</v>
      </c>
    </row>
    <row r="16" spans="1:18" ht="15" customHeight="1">
      <c r="A16" s="321"/>
      <c r="B16" s="333"/>
      <c r="C16" s="333"/>
      <c r="D16" s="412"/>
      <c r="E16" s="412"/>
      <c r="F16" s="1055"/>
      <c r="G16" s="1359" t="s">
        <v>310</v>
      </c>
      <c r="H16" s="1365">
        <v>2808100</v>
      </c>
      <c r="I16" s="1355" t="s">
        <v>29</v>
      </c>
      <c r="J16" s="1366">
        <v>1</v>
      </c>
      <c r="K16" s="1367"/>
      <c r="L16" s="1355" t="s">
        <v>29</v>
      </c>
      <c r="M16" s="1368"/>
      <c r="N16" s="1369">
        <v>10</v>
      </c>
      <c r="O16" s="1369" t="s">
        <v>36</v>
      </c>
      <c r="P16" s="1363">
        <f t="shared" si="0"/>
        <v>28081000</v>
      </c>
    </row>
    <row r="17" spans="1:16" ht="15" customHeight="1">
      <c r="A17" s="321"/>
      <c r="B17" s="333"/>
      <c r="C17" s="333"/>
      <c r="D17" s="412"/>
      <c r="E17" s="412"/>
      <c r="F17" s="1055"/>
      <c r="G17" s="1359" t="s">
        <v>311</v>
      </c>
      <c r="H17" s="1365">
        <v>2903500</v>
      </c>
      <c r="I17" s="1355" t="s">
        <v>29</v>
      </c>
      <c r="J17" s="1366">
        <v>1</v>
      </c>
      <c r="K17" s="1367"/>
      <c r="L17" s="1355" t="s">
        <v>29</v>
      </c>
      <c r="M17" s="1368"/>
      <c r="N17" s="1369">
        <v>2</v>
      </c>
      <c r="O17" s="1369" t="s">
        <v>36</v>
      </c>
      <c r="P17" s="1363">
        <f t="shared" si="0"/>
        <v>5807000</v>
      </c>
    </row>
    <row r="18" spans="1:16" ht="15" customHeight="1">
      <c r="A18" s="321"/>
      <c r="B18" s="333"/>
      <c r="C18" s="333"/>
      <c r="D18" s="412"/>
      <c r="E18" s="412"/>
      <c r="F18" s="1055"/>
      <c r="G18" s="1359" t="s">
        <v>312</v>
      </c>
      <c r="H18" s="1365">
        <v>2610800</v>
      </c>
      <c r="I18" s="1355" t="s">
        <v>29</v>
      </c>
      <c r="J18" s="1366">
        <v>1</v>
      </c>
      <c r="K18" s="1367"/>
      <c r="L18" s="1355" t="s">
        <v>29</v>
      </c>
      <c r="M18" s="1370"/>
      <c r="N18" s="1369">
        <v>3</v>
      </c>
      <c r="O18" s="1369" t="s">
        <v>36</v>
      </c>
      <c r="P18" s="1363">
        <f t="shared" si="0"/>
        <v>7832400</v>
      </c>
    </row>
    <row r="19" spans="1:16" ht="15" customHeight="1">
      <c r="A19" s="321"/>
      <c r="B19" s="333"/>
      <c r="C19" s="333"/>
      <c r="D19" s="412"/>
      <c r="E19" s="412"/>
      <c r="F19" s="1055"/>
      <c r="G19" s="1359" t="s">
        <v>313</v>
      </c>
      <c r="H19" s="1365">
        <v>2713000</v>
      </c>
      <c r="I19" s="1355" t="s">
        <v>29</v>
      </c>
      <c r="J19" s="1366">
        <v>1</v>
      </c>
      <c r="K19" s="1367"/>
      <c r="L19" s="1355" t="s">
        <v>29</v>
      </c>
      <c r="M19" s="1370"/>
      <c r="N19" s="1369">
        <v>9</v>
      </c>
      <c r="O19" s="1369" t="s">
        <v>36</v>
      </c>
      <c r="P19" s="1363">
        <f t="shared" si="0"/>
        <v>24417000</v>
      </c>
    </row>
    <row r="20" spans="1:16" ht="15" customHeight="1">
      <c r="A20" s="321"/>
      <c r="B20" s="333"/>
      <c r="C20" s="333"/>
      <c r="D20" s="412"/>
      <c r="E20" s="412"/>
      <c r="F20" s="1055"/>
      <c r="G20" s="1359" t="s">
        <v>314</v>
      </c>
      <c r="H20" s="1365">
        <v>2610800</v>
      </c>
      <c r="I20" s="1355" t="s">
        <v>29</v>
      </c>
      <c r="J20" s="1366">
        <v>1</v>
      </c>
      <c r="K20" s="1367"/>
      <c r="L20" s="1355" t="s">
        <v>29</v>
      </c>
      <c r="M20" s="1368"/>
      <c r="N20" s="1369">
        <v>5</v>
      </c>
      <c r="O20" s="1369" t="s">
        <v>36</v>
      </c>
      <c r="P20" s="1363">
        <f t="shared" si="0"/>
        <v>13054000</v>
      </c>
    </row>
    <row r="21" spans="1:16" ht="15" customHeight="1">
      <c r="A21" s="321"/>
      <c r="B21" s="333"/>
      <c r="C21" s="333"/>
      <c r="D21" s="412"/>
      <c r="E21" s="412"/>
      <c r="F21" s="1055"/>
      <c r="G21" s="1359" t="s">
        <v>315</v>
      </c>
      <c r="H21" s="1365">
        <v>2713000</v>
      </c>
      <c r="I21" s="1355" t="s">
        <v>29</v>
      </c>
      <c r="J21" s="1366">
        <v>1</v>
      </c>
      <c r="K21" s="1367"/>
      <c r="L21" s="1355" t="s">
        <v>29</v>
      </c>
      <c r="M21" s="1368"/>
      <c r="N21" s="1369">
        <v>7</v>
      </c>
      <c r="O21" s="1369" t="s">
        <v>36</v>
      </c>
      <c r="P21" s="1363">
        <f t="shared" si="0"/>
        <v>18991000</v>
      </c>
    </row>
    <row r="22" spans="1:16" ht="15" customHeight="1">
      <c r="A22" s="321"/>
      <c r="B22" s="333"/>
      <c r="C22" s="333"/>
      <c r="D22" s="412"/>
      <c r="E22" s="412"/>
      <c r="F22" s="1055"/>
      <c r="G22" s="1359" t="s">
        <v>316</v>
      </c>
      <c r="H22" s="1365">
        <v>2065600</v>
      </c>
      <c r="I22" s="1355" t="s">
        <v>29</v>
      </c>
      <c r="J22" s="1366">
        <v>1</v>
      </c>
      <c r="K22" s="1367"/>
      <c r="L22" s="1355" t="s">
        <v>29</v>
      </c>
      <c r="M22" s="1368"/>
      <c r="N22" s="1369">
        <v>3</v>
      </c>
      <c r="O22" s="1369" t="s">
        <v>36</v>
      </c>
      <c r="P22" s="1363">
        <f t="shared" si="0"/>
        <v>6196800</v>
      </c>
    </row>
    <row r="23" spans="1:16" ht="15" customHeight="1">
      <c r="A23" s="321"/>
      <c r="B23" s="333"/>
      <c r="C23" s="333"/>
      <c r="D23" s="412"/>
      <c r="E23" s="412"/>
      <c r="F23" s="1055"/>
      <c r="G23" s="1359" t="s">
        <v>317</v>
      </c>
      <c r="H23" s="1365">
        <v>2265800</v>
      </c>
      <c r="I23" s="1355" t="s">
        <v>29</v>
      </c>
      <c r="J23" s="1366">
        <v>1</v>
      </c>
      <c r="K23" s="1367"/>
      <c r="L23" s="1355" t="s">
        <v>29</v>
      </c>
      <c r="M23" s="1368"/>
      <c r="N23" s="1369">
        <v>9</v>
      </c>
      <c r="O23" s="1369" t="s">
        <v>36</v>
      </c>
      <c r="P23" s="1363">
        <f t="shared" si="0"/>
        <v>20392200</v>
      </c>
    </row>
    <row r="24" spans="1:16" ht="15" customHeight="1">
      <c r="A24" s="321"/>
      <c r="B24" s="333"/>
      <c r="C24" s="333"/>
      <c r="D24" s="412"/>
      <c r="E24" s="412"/>
      <c r="F24" s="1055"/>
      <c r="G24" s="1359" t="s">
        <v>320</v>
      </c>
      <c r="H24" s="1365">
        <v>3522214</v>
      </c>
      <c r="I24" s="1355" t="s">
        <v>29</v>
      </c>
      <c r="J24" s="1366">
        <v>1</v>
      </c>
      <c r="K24" s="1367"/>
      <c r="L24" s="1355" t="s">
        <v>29</v>
      </c>
      <c r="M24" s="1368"/>
      <c r="N24" s="1369">
        <v>1</v>
      </c>
      <c r="O24" s="1369" t="s">
        <v>36</v>
      </c>
      <c r="P24" s="1380">
        <f>H24*J24*N24</f>
        <v>3522214</v>
      </c>
    </row>
    <row r="25" spans="1:16">
      <c r="A25" s="321"/>
      <c r="B25" s="333"/>
      <c r="C25" s="333"/>
      <c r="D25" s="412"/>
      <c r="E25" s="412"/>
      <c r="F25" s="1055"/>
      <c r="G25" s="1359" t="s">
        <v>319</v>
      </c>
      <c r="H25" s="1365">
        <v>1371121</v>
      </c>
      <c r="I25" s="1355" t="s">
        <v>29</v>
      </c>
      <c r="J25" s="1366">
        <v>1</v>
      </c>
      <c r="K25" s="1367"/>
      <c r="L25" s="1355" t="s">
        <v>29</v>
      </c>
      <c r="M25" s="1368"/>
      <c r="N25" s="1369">
        <v>1</v>
      </c>
      <c r="O25" s="1369" t="s">
        <v>36</v>
      </c>
      <c r="P25" s="1380">
        <f>H25*J25*N25</f>
        <v>1371121</v>
      </c>
    </row>
    <row r="26" spans="1:16">
      <c r="A26" s="321"/>
      <c r="B26" s="333"/>
      <c r="C26" s="333"/>
      <c r="D26" s="412"/>
      <c r="E26" s="412"/>
      <c r="F26" s="1055"/>
      <c r="G26" s="1359" t="s">
        <v>319</v>
      </c>
      <c r="H26" s="1365">
        <v>2020600</v>
      </c>
      <c r="I26" s="1355" t="s">
        <v>29</v>
      </c>
      <c r="J26" s="1366">
        <v>1</v>
      </c>
      <c r="K26" s="1367"/>
      <c r="L26" s="1355" t="s">
        <v>29</v>
      </c>
      <c r="M26" s="1368"/>
      <c r="N26" s="1369">
        <v>10</v>
      </c>
      <c r="O26" s="1369" t="s">
        <v>36</v>
      </c>
      <c r="P26" s="1363">
        <f>H26*J26*N26</f>
        <v>20206000</v>
      </c>
    </row>
    <row r="27" spans="1:16" ht="15" customHeight="1">
      <c r="A27" s="321"/>
      <c r="B27" s="338"/>
      <c r="C27" s="339" t="s">
        <v>197</v>
      </c>
      <c r="D27" s="142">
        <v>60342530</v>
      </c>
      <c r="E27" s="142">
        <f>P28+P35+P51</f>
        <v>56457658</v>
      </c>
      <c r="F27" s="1009">
        <f>E27-D27</f>
        <v>-3884872</v>
      </c>
      <c r="G27" s="341"/>
      <c r="H27" s="307"/>
      <c r="I27" s="1271"/>
      <c r="J27" s="342"/>
      <c r="K27" s="1271"/>
      <c r="L27" s="307"/>
      <c r="M27" s="1271"/>
      <c r="N27" s="559"/>
      <c r="O27" s="559"/>
      <c r="P27" s="326"/>
    </row>
    <row r="28" spans="1:16" ht="15" customHeight="1">
      <c r="A28" s="321"/>
      <c r="B28" s="338"/>
      <c r="C28" s="343"/>
      <c r="D28" s="239"/>
      <c r="E28" s="239"/>
      <c r="F28" s="1056"/>
      <c r="G28" s="1358" t="s">
        <v>369</v>
      </c>
      <c r="H28" s="1360"/>
      <c r="I28" s="1356"/>
      <c r="J28" s="1371"/>
      <c r="K28" s="1356"/>
      <c r="L28" s="1360"/>
      <c r="M28" s="1356"/>
      <c r="N28" s="1357"/>
      <c r="O28" s="1357"/>
      <c r="P28" s="1372">
        <f>SUM(P29:P34)</f>
        <v>5971428</v>
      </c>
    </row>
    <row r="29" spans="1:16" ht="15" customHeight="1">
      <c r="A29" s="321"/>
      <c r="B29" s="338"/>
      <c r="C29" s="345"/>
      <c r="D29" s="224"/>
      <c r="E29" s="224"/>
      <c r="F29" s="1056"/>
      <c r="G29" s="1358" t="s">
        <v>321</v>
      </c>
      <c r="H29" s="1360">
        <v>40000</v>
      </c>
      <c r="I29" s="1355" t="s">
        <v>29</v>
      </c>
      <c r="J29" s="1373">
        <v>5</v>
      </c>
      <c r="K29" s="1356"/>
      <c r="L29" s="1355" t="s">
        <v>29</v>
      </c>
      <c r="M29" s="1356"/>
      <c r="N29" s="1357">
        <v>12</v>
      </c>
      <c r="O29" s="1357" t="s">
        <v>36</v>
      </c>
      <c r="P29" s="1363">
        <f>SUM(H29*J29*N29)</f>
        <v>2400000</v>
      </c>
    </row>
    <row r="30" spans="1:16" ht="15" customHeight="1">
      <c r="A30" s="321"/>
      <c r="B30" s="338"/>
      <c r="C30" s="345"/>
      <c r="D30" s="224"/>
      <c r="E30" s="224"/>
      <c r="F30" s="1056"/>
      <c r="G30" s="1358" t="s">
        <v>322</v>
      </c>
      <c r="H30" s="1360">
        <v>20000</v>
      </c>
      <c r="I30" s="1355" t="s">
        <v>29</v>
      </c>
      <c r="J30" s="1373">
        <v>4</v>
      </c>
      <c r="K30" s="1356"/>
      <c r="L30" s="1355" t="s">
        <v>29</v>
      </c>
      <c r="M30" s="1356"/>
      <c r="N30" s="1357">
        <v>12</v>
      </c>
      <c r="O30" s="1357" t="s">
        <v>36</v>
      </c>
      <c r="P30" s="1363">
        <f>SUM(H30*J30*N30)</f>
        <v>960000</v>
      </c>
    </row>
    <row r="31" spans="1:16" ht="15" customHeight="1">
      <c r="A31" s="321"/>
      <c r="B31" s="338"/>
      <c r="C31" s="345"/>
      <c r="D31" s="224"/>
      <c r="E31" s="224"/>
      <c r="F31" s="1056"/>
      <c r="G31" s="1358" t="s">
        <v>323</v>
      </c>
      <c r="H31" s="1360">
        <v>60000</v>
      </c>
      <c r="I31" s="1355" t="s">
        <v>29</v>
      </c>
      <c r="J31" s="1373">
        <v>2</v>
      </c>
      <c r="K31" s="1356"/>
      <c r="L31" s="1355" t="s">
        <v>29</v>
      </c>
      <c r="M31" s="1374"/>
      <c r="N31" s="1357">
        <v>12</v>
      </c>
      <c r="O31" s="1357" t="s">
        <v>36</v>
      </c>
      <c r="P31" s="1363">
        <f>SUM(H31*J31*N31)</f>
        <v>1440000</v>
      </c>
    </row>
    <row r="32" spans="1:16" ht="15" customHeight="1">
      <c r="A32" s="321"/>
      <c r="B32" s="347"/>
      <c r="C32" s="345"/>
      <c r="D32" s="224"/>
      <c r="E32" s="224"/>
      <c r="F32" s="1056"/>
      <c r="G32" s="1358" t="s">
        <v>378</v>
      </c>
      <c r="H32" s="1360">
        <v>20000</v>
      </c>
      <c r="I32" s="1355" t="s">
        <v>29</v>
      </c>
      <c r="J32" s="1373">
        <v>3</v>
      </c>
      <c r="K32" s="1356"/>
      <c r="L32" s="1355" t="s">
        <v>29</v>
      </c>
      <c r="M32" s="1375"/>
      <c r="N32" s="1357">
        <v>12</v>
      </c>
      <c r="O32" s="1357" t="s">
        <v>36</v>
      </c>
      <c r="P32" s="1363">
        <f>SUM(H32*J32*N32)</f>
        <v>720000</v>
      </c>
    </row>
    <row r="33" spans="1:16" ht="15" customHeight="1">
      <c r="A33" s="321"/>
      <c r="B33" s="347"/>
      <c r="C33" s="345"/>
      <c r="D33" s="224"/>
      <c r="E33" s="224"/>
      <c r="F33" s="1056"/>
      <c r="G33" s="1358" t="s">
        <v>326</v>
      </c>
      <c r="H33" s="1360">
        <v>20000</v>
      </c>
      <c r="I33" s="1355" t="s">
        <v>29</v>
      </c>
      <c r="J33" s="1373">
        <v>2</v>
      </c>
      <c r="K33" s="1356"/>
      <c r="L33" s="1355" t="s">
        <v>29</v>
      </c>
      <c r="M33" s="1375"/>
      <c r="N33" s="1357">
        <v>1.3</v>
      </c>
      <c r="O33" s="1357" t="s">
        <v>36</v>
      </c>
      <c r="P33" s="1363">
        <f>SUM(H33*J33*N33)-572</f>
        <v>51428</v>
      </c>
    </row>
    <row r="34" spans="1:16" ht="15.75" customHeight="1">
      <c r="A34" s="321"/>
      <c r="B34" s="347"/>
      <c r="C34" s="345"/>
      <c r="D34" s="224"/>
      <c r="E34" s="224"/>
      <c r="F34" s="1056"/>
      <c r="G34" s="1358" t="s">
        <v>324</v>
      </c>
      <c r="H34" s="1360">
        <v>40000</v>
      </c>
      <c r="I34" s="1355" t="s">
        <v>29</v>
      </c>
      <c r="J34" s="1373">
        <v>1</v>
      </c>
      <c r="K34" s="1356"/>
      <c r="L34" s="1355" t="s">
        <v>29</v>
      </c>
      <c r="M34" s="1356"/>
      <c r="N34" s="1357">
        <v>10</v>
      </c>
      <c r="O34" s="1357" t="s">
        <v>36</v>
      </c>
      <c r="P34" s="1363">
        <f>SUM(H34*J34*N34)</f>
        <v>400000</v>
      </c>
    </row>
    <row r="35" spans="1:16" ht="15.75" customHeight="1">
      <c r="A35" s="321"/>
      <c r="B35" s="347"/>
      <c r="C35" s="345"/>
      <c r="D35" s="224"/>
      <c r="E35" s="224"/>
      <c r="F35" s="1056"/>
      <c r="G35" s="1358" t="s">
        <v>325</v>
      </c>
      <c r="H35" s="1360"/>
      <c r="I35" s="1356"/>
      <c r="J35" s="1371"/>
      <c r="K35" s="1356"/>
      <c r="L35" s="1360"/>
      <c r="M35" s="1356"/>
      <c r="N35" s="1357"/>
      <c r="O35" s="1357"/>
      <c r="P35" s="1372">
        <f>SUM(P36:P50)</f>
        <v>29725860</v>
      </c>
    </row>
    <row r="36" spans="1:16" ht="15.75" customHeight="1">
      <c r="A36" s="321"/>
      <c r="B36" s="347"/>
      <c r="C36" s="345"/>
      <c r="D36" s="224"/>
      <c r="E36" s="224"/>
      <c r="F36" s="1056"/>
      <c r="G36" s="1358" t="s">
        <v>305</v>
      </c>
      <c r="H36" s="1360">
        <v>4812600</v>
      </c>
      <c r="I36" s="1355" t="s">
        <v>29</v>
      </c>
      <c r="J36" s="1376">
        <v>0.6</v>
      </c>
      <c r="K36" s="1355" t="s">
        <v>29</v>
      </c>
      <c r="L36" s="1373">
        <v>1</v>
      </c>
      <c r="M36" s="1355" t="s">
        <v>29</v>
      </c>
      <c r="N36" s="1377">
        <v>1</v>
      </c>
      <c r="O36" s="1357" t="s">
        <v>36</v>
      </c>
      <c r="P36" s="1363">
        <f>ROUND(SUM(H36*J36*L36*N36),-1)</f>
        <v>2887560</v>
      </c>
    </row>
    <row r="37" spans="1:16" ht="15" customHeight="1">
      <c r="A37" s="321"/>
      <c r="B37" s="347"/>
      <c r="C37" s="345"/>
      <c r="D37" s="224"/>
      <c r="E37" s="224"/>
      <c r="F37" s="1056"/>
      <c r="G37" s="1358" t="s">
        <v>305</v>
      </c>
      <c r="H37" s="1360">
        <v>4863800</v>
      </c>
      <c r="I37" s="1355" t="s">
        <v>29</v>
      </c>
      <c r="J37" s="1376">
        <v>0.6</v>
      </c>
      <c r="K37" s="1355" t="s">
        <v>29</v>
      </c>
      <c r="L37" s="1373">
        <v>1</v>
      </c>
      <c r="M37" s="1355" t="s">
        <v>29</v>
      </c>
      <c r="N37" s="1377">
        <v>1</v>
      </c>
      <c r="O37" s="1357" t="s">
        <v>36</v>
      </c>
      <c r="P37" s="1363">
        <f t="shared" ref="P37:P48" si="1">ROUND(SUM(H37*J37*L37*N37),-1)</f>
        <v>2918280</v>
      </c>
    </row>
    <row r="38" spans="1:16" ht="15" customHeight="1">
      <c r="A38" s="321"/>
      <c r="B38" s="347"/>
      <c r="C38" s="348"/>
      <c r="D38" s="337"/>
      <c r="E38" s="412"/>
      <c r="F38" s="1055"/>
      <c r="G38" s="1358" t="s">
        <v>306</v>
      </c>
      <c r="H38" s="1360">
        <v>3663800</v>
      </c>
      <c r="I38" s="1355" t="s">
        <v>29</v>
      </c>
      <c r="J38" s="1376">
        <v>0.6</v>
      </c>
      <c r="K38" s="1355" t="s">
        <v>29</v>
      </c>
      <c r="L38" s="1373">
        <v>1</v>
      </c>
      <c r="M38" s="1355" t="s">
        <v>29</v>
      </c>
      <c r="N38" s="1377">
        <v>1</v>
      </c>
      <c r="O38" s="1357" t="s">
        <v>36</v>
      </c>
      <c r="P38" s="1363">
        <f t="shared" si="1"/>
        <v>2198280</v>
      </c>
    </row>
    <row r="39" spans="1:16" ht="15" customHeight="1">
      <c r="A39" s="321"/>
      <c r="B39" s="347"/>
      <c r="C39" s="348"/>
      <c r="D39" s="337"/>
      <c r="E39" s="412"/>
      <c r="F39" s="1055"/>
      <c r="G39" s="1358" t="s">
        <v>307</v>
      </c>
      <c r="H39" s="1360">
        <v>3730900</v>
      </c>
      <c r="I39" s="1355" t="s">
        <v>29</v>
      </c>
      <c r="J39" s="1376">
        <v>0.6</v>
      </c>
      <c r="K39" s="1355" t="s">
        <v>29</v>
      </c>
      <c r="L39" s="1373">
        <v>1</v>
      </c>
      <c r="M39" s="1355" t="s">
        <v>29</v>
      </c>
      <c r="N39" s="1377">
        <v>1</v>
      </c>
      <c r="O39" s="1357" t="s">
        <v>36</v>
      </c>
      <c r="P39" s="1363">
        <f t="shared" si="1"/>
        <v>2238540</v>
      </c>
    </row>
    <row r="40" spans="1:16" ht="15" customHeight="1">
      <c r="A40" s="321"/>
      <c r="B40" s="347"/>
      <c r="C40" s="348"/>
      <c r="D40" s="337"/>
      <c r="E40" s="412"/>
      <c r="F40" s="1055"/>
      <c r="G40" s="1358" t="s">
        <v>308</v>
      </c>
      <c r="H40" s="1360">
        <v>3522100</v>
      </c>
      <c r="I40" s="1355" t="s">
        <v>29</v>
      </c>
      <c r="J40" s="1376">
        <v>0.6</v>
      </c>
      <c r="K40" s="1355" t="s">
        <v>29</v>
      </c>
      <c r="L40" s="1373">
        <v>1</v>
      </c>
      <c r="M40" s="1355" t="s">
        <v>29</v>
      </c>
      <c r="N40" s="1377">
        <v>1</v>
      </c>
      <c r="O40" s="1357" t="s">
        <v>36</v>
      </c>
      <c r="P40" s="1363">
        <f t="shared" si="1"/>
        <v>2113260</v>
      </c>
    </row>
    <row r="41" spans="1:16" ht="15" customHeight="1">
      <c r="A41" s="321"/>
      <c r="B41" s="347"/>
      <c r="C41" s="348"/>
      <c r="D41" s="337"/>
      <c r="E41" s="412"/>
      <c r="F41" s="1055"/>
      <c r="G41" s="1358" t="s">
        <v>309</v>
      </c>
      <c r="H41" s="1360">
        <v>3594600</v>
      </c>
      <c r="I41" s="1355" t="s">
        <v>29</v>
      </c>
      <c r="J41" s="1376">
        <v>0.6</v>
      </c>
      <c r="K41" s="1355" t="s">
        <v>29</v>
      </c>
      <c r="L41" s="1373">
        <v>1</v>
      </c>
      <c r="M41" s="1355" t="s">
        <v>29</v>
      </c>
      <c r="N41" s="1377">
        <v>1</v>
      </c>
      <c r="O41" s="1357" t="s">
        <v>36</v>
      </c>
      <c r="P41" s="1363">
        <f t="shared" si="1"/>
        <v>2156760</v>
      </c>
    </row>
    <row r="42" spans="1:16" ht="15" customHeight="1">
      <c r="A42" s="321"/>
      <c r="B42" s="347"/>
      <c r="C42" s="348"/>
      <c r="D42" s="337"/>
      <c r="E42" s="412"/>
      <c r="F42" s="1055"/>
      <c r="G42" s="1359" t="s">
        <v>310</v>
      </c>
      <c r="H42" s="1365">
        <v>2808100</v>
      </c>
      <c r="I42" s="1355" t="s">
        <v>29</v>
      </c>
      <c r="J42" s="1376">
        <v>0.6</v>
      </c>
      <c r="K42" s="1355" t="s">
        <v>29</v>
      </c>
      <c r="L42" s="1373">
        <v>1</v>
      </c>
      <c r="M42" s="1355" t="s">
        <v>29</v>
      </c>
      <c r="N42" s="1377">
        <v>2</v>
      </c>
      <c r="O42" s="1357" t="s">
        <v>36</v>
      </c>
      <c r="P42" s="1363">
        <f t="shared" si="1"/>
        <v>3369720</v>
      </c>
    </row>
    <row r="43" spans="1:16" ht="15" customHeight="1">
      <c r="A43" s="321"/>
      <c r="B43" s="347"/>
      <c r="C43" s="348"/>
      <c r="D43" s="337"/>
      <c r="E43" s="412"/>
      <c r="F43" s="1055"/>
      <c r="G43" s="1359" t="s">
        <v>312</v>
      </c>
      <c r="H43" s="1365">
        <v>2610800</v>
      </c>
      <c r="I43" s="1355" t="s">
        <v>29</v>
      </c>
      <c r="J43" s="1376">
        <v>0.6</v>
      </c>
      <c r="K43" s="1355" t="s">
        <v>29</v>
      </c>
      <c r="L43" s="1373">
        <v>1</v>
      </c>
      <c r="M43" s="1355" t="s">
        <v>29</v>
      </c>
      <c r="N43" s="1377">
        <v>1</v>
      </c>
      <c r="O43" s="1357" t="s">
        <v>36</v>
      </c>
      <c r="P43" s="1363">
        <f t="shared" si="1"/>
        <v>1566480</v>
      </c>
    </row>
    <row r="44" spans="1:16" ht="15" customHeight="1">
      <c r="A44" s="321"/>
      <c r="B44" s="347"/>
      <c r="C44" s="348"/>
      <c r="D44" s="337"/>
      <c r="E44" s="412"/>
      <c r="F44" s="1055"/>
      <c r="G44" s="1359" t="s">
        <v>313</v>
      </c>
      <c r="H44" s="1365">
        <v>2713000</v>
      </c>
      <c r="I44" s="1355" t="s">
        <v>29</v>
      </c>
      <c r="J44" s="1376">
        <v>0.6</v>
      </c>
      <c r="K44" s="1355" t="s">
        <v>29</v>
      </c>
      <c r="L44" s="1373">
        <v>1</v>
      </c>
      <c r="M44" s="1355" t="s">
        <v>29</v>
      </c>
      <c r="N44" s="1377">
        <v>1</v>
      </c>
      <c r="O44" s="1357" t="s">
        <v>36</v>
      </c>
      <c r="P44" s="1363">
        <f t="shared" si="1"/>
        <v>1627800</v>
      </c>
    </row>
    <row r="45" spans="1:16" ht="15" customHeight="1">
      <c r="A45" s="321"/>
      <c r="B45" s="347"/>
      <c r="C45" s="348"/>
      <c r="D45" s="337"/>
      <c r="E45" s="412"/>
      <c r="F45" s="1055"/>
      <c r="G45" s="1359" t="s">
        <v>314</v>
      </c>
      <c r="H45" s="1365">
        <v>2610800</v>
      </c>
      <c r="I45" s="1355" t="s">
        <v>29</v>
      </c>
      <c r="J45" s="1376">
        <v>0.6</v>
      </c>
      <c r="K45" s="1355" t="s">
        <v>29</v>
      </c>
      <c r="L45" s="1373">
        <v>1</v>
      </c>
      <c r="M45" s="1355" t="s">
        <v>29</v>
      </c>
      <c r="N45" s="1377">
        <v>1</v>
      </c>
      <c r="O45" s="1357" t="s">
        <v>36</v>
      </c>
      <c r="P45" s="1363">
        <f t="shared" si="1"/>
        <v>1566480</v>
      </c>
    </row>
    <row r="46" spans="1:16" ht="15" customHeight="1">
      <c r="A46" s="321"/>
      <c r="B46" s="347"/>
      <c r="C46" s="348"/>
      <c r="D46" s="337"/>
      <c r="E46" s="412"/>
      <c r="F46" s="1055"/>
      <c r="G46" s="1359" t="s">
        <v>315</v>
      </c>
      <c r="H46" s="1365">
        <v>2713000</v>
      </c>
      <c r="I46" s="1355" t="s">
        <v>29</v>
      </c>
      <c r="J46" s="1376">
        <v>0.6</v>
      </c>
      <c r="K46" s="1355" t="s">
        <v>29</v>
      </c>
      <c r="L46" s="1373">
        <v>1</v>
      </c>
      <c r="M46" s="1355" t="s">
        <v>29</v>
      </c>
      <c r="N46" s="1377">
        <v>1</v>
      </c>
      <c r="O46" s="1357" t="s">
        <v>36</v>
      </c>
      <c r="P46" s="1363">
        <f t="shared" si="1"/>
        <v>1627800</v>
      </c>
    </row>
    <row r="47" spans="1:16" ht="15" customHeight="1">
      <c r="A47" s="321"/>
      <c r="B47" s="347"/>
      <c r="C47" s="348"/>
      <c r="D47" s="337"/>
      <c r="E47" s="412"/>
      <c r="F47" s="1055"/>
      <c r="G47" s="1359" t="s">
        <v>316</v>
      </c>
      <c r="H47" s="1365">
        <v>2065600</v>
      </c>
      <c r="I47" s="1355" t="s">
        <v>29</v>
      </c>
      <c r="J47" s="1376">
        <v>0.6</v>
      </c>
      <c r="K47" s="1355" t="s">
        <v>29</v>
      </c>
      <c r="L47" s="1373">
        <v>1</v>
      </c>
      <c r="M47" s="1355" t="s">
        <v>29</v>
      </c>
      <c r="N47" s="1377">
        <v>1</v>
      </c>
      <c r="O47" s="1357" t="s">
        <v>36</v>
      </c>
      <c r="P47" s="1363">
        <f t="shared" si="1"/>
        <v>1239360</v>
      </c>
    </row>
    <row r="48" spans="1:16" ht="15" customHeight="1">
      <c r="A48" s="321"/>
      <c r="B48" s="347"/>
      <c r="C48" s="348"/>
      <c r="D48" s="337"/>
      <c r="E48" s="412"/>
      <c r="F48" s="1055"/>
      <c r="G48" s="1359" t="s">
        <v>317</v>
      </c>
      <c r="H48" s="1365">
        <v>2265800</v>
      </c>
      <c r="I48" s="1355" t="s">
        <v>29</v>
      </c>
      <c r="J48" s="1376">
        <v>0.6</v>
      </c>
      <c r="K48" s="1355" t="s">
        <v>29</v>
      </c>
      <c r="L48" s="1373">
        <v>1</v>
      </c>
      <c r="M48" s="1355" t="s">
        <v>29</v>
      </c>
      <c r="N48" s="1377">
        <v>1</v>
      </c>
      <c r="O48" s="1357" t="s">
        <v>36</v>
      </c>
      <c r="P48" s="1363">
        <f t="shared" si="1"/>
        <v>1359480</v>
      </c>
    </row>
    <row r="49" spans="1:16" ht="15" customHeight="1">
      <c r="A49" s="321"/>
      <c r="B49" s="347"/>
      <c r="C49" s="348"/>
      <c r="D49" s="337"/>
      <c r="E49" s="412"/>
      <c r="F49" s="1055"/>
      <c r="G49" s="1359" t="s">
        <v>318</v>
      </c>
      <c r="H49" s="1365">
        <v>2739500</v>
      </c>
      <c r="I49" s="1355" t="s">
        <v>29</v>
      </c>
      <c r="J49" s="1376">
        <v>0.6</v>
      </c>
      <c r="K49" s="1355" t="s">
        <v>29</v>
      </c>
      <c r="L49" s="1373">
        <v>1</v>
      </c>
      <c r="M49" s="1355" t="s">
        <v>29</v>
      </c>
      <c r="N49" s="1377">
        <v>1</v>
      </c>
      <c r="O49" s="1357" t="s">
        <v>36</v>
      </c>
      <c r="P49" s="1363">
        <f>ROUND(SUM(H49*J49*L49*N49),-1)</f>
        <v>1643700</v>
      </c>
    </row>
    <row r="50" spans="1:16" ht="15" customHeight="1">
      <c r="A50" s="321"/>
      <c r="B50" s="347"/>
      <c r="C50" s="348"/>
      <c r="D50" s="337"/>
      <c r="E50" s="412"/>
      <c r="F50" s="1055"/>
      <c r="G50" s="1359" t="s">
        <v>319</v>
      </c>
      <c r="H50" s="1365">
        <v>2020600</v>
      </c>
      <c r="I50" s="1355" t="s">
        <v>29</v>
      </c>
      <c r="J50" s="1376">
        <v>0.6</v>
      </c>
      <c r="K50" s="1355" t="s">
        <v>29</v>
      </c>
      <c r="L50" s="1373">
        <v>1</v>
      </c>
      <c r="M50" s="1355" t="s">
        <v>29</v>
      </c>
      <c r="N50" s="1377">
        <v>1</v>
      </c>
      <c r="O50" s="1357" t="s">
        <v>36</v>
      </c>
      <c r="P50" s="1363">
        <f>ROUND(SUM(H50*J50*L50*N50),-1)</f>
        <v>1212360</v>
      </c>
    </row>
    <row r="51" spans="1:16" ht="15" customHeight="1">
      <c r="A51" s="321"/>
      <c r="B51" s="347"/>
      <c r="C51" s="348"/>
      <c r="D51" s="337"/>
      <c r="E51" s="412"/>
      <c r="F51" s="1055"/>
      <c r="G51" s="1358" t="s">
        <v>58</v>
      </c>
      <c r="H51" s="1360"/>
      <c r="I51" s="1356"/>
      <c r="J51" s="1371"/>
      <c r="K51" s="1356"/>
      <c r="L51" s="1360"/>
      <c r="M51" s="1356"/>
      <c r="N51" s="1357"/>
      <c r="O51" s="1357"/>
      <c r="P51" s="1372">
        <f>SUM(P52:P63)</f>
        <v>20760370</v>
      </c>
    </row>
    <row r="52" spans="1:16" ht="15" customHeight="1">
      <c r="A52" s="321"/>
      <c r="B52" s="347"/>
      <c r="C52" s="348"/>
      <c r="D52" s="337"/>
      <c r="E52" s="412"/>
      <c r="F52" s="1055"/>
      <c r="G52" s="1358" t="s">
        <v>306</v>
      </c>
      <c r="H52" s="1360">
        <v>394420</v>
      </c>
      <c r="I52" s="1355"/>
      <c r="J52" s="1376"/>
      <c r="K52" s="1356"/>
      <c r="L52" s="1355"/>
      <c r="M52" s="1355" t="s">
        <v>29</v>
      </c>
      <c r="N52" s="1357">
        <v>7</v>
      </c>
      <c r="O52" s="1369" t="s">
        <v>36</v>
      </c>
      <c r="P52" s="1378">
        <f t="shared" ref="P52:P62" si="2">H52*N52</f>
        <v>2760940</v>
      </c>
    </row>
    <row r="53" spans="1:16" ht="15" customHeight="1">
      <c r="A53" s="321"/>
      <c r="B53" s="347"/>
      <c r="C53" s="348"/>
      <c r="D53" s="337"/>
      <c r="E53" s="412"/>
      <c r="F53" s="1055"/>
      <c r="G53" s="1358" t="s">
        <v>307</v>
      </c>
      <c r="H53" s="1360">
        <v>401650</v>
      </c>
      <c r="I53" s="1355"/>
      <c r="J53" s="1376"/>
      <c r="K53" s="1356"/>
      <c r="L53" s="1355"/>
      <c r="M53" s="1355" t="s">
        <v>29</v>
      </c>
      <c r="N53" s="1357">
        <v>5</v>
      </c>
      <c r="O53" s="1369" t="s">
        <v>36</v>
      </c>
      <c r="P53" s="1378">
        <f t="shared" si="2"/>
        <v>2008250</v>
      </c>
    </row>
    <row r="54" spans="1:16" ht="15" customHeight="1">
      <c r="A54" s="321"/>
      <c r="B54" s="347"/>
      <c r="C54" s="345"/>
      <c r="D54" s="224"/>
      <c r="E54" s="224"/>
      <c r="F54" s="1056"/>
      <c r="G54" s="1359" t="s">
        <v>310</v>
      </c>
      <c r="H54" s="1360">
        <v>302300</v>
      </c>
      <c r="I54" s="1355"/>
      <c r="J54" s="1376"/>
      <c r="K54" s="1356"/>
      <c r="L54" s="1362"/>
      <c r="M54" s="1355" t="s">
        <v>29</v>
      </c>
      <c r="N54" s="1357">
        <v>10</v>
      </c>
      <c r="O54" s="1357" t="s">
        <v>36</v>
      </c>
      <c r="P54" s="1378">
        <f t="shared" si="2"/>
        <v>3023000</v>
      </c>
    </row>
    <row r="55" spans="1:16" ht="15" customHeight="1">
      <c r="A55" s="321"/>
      <c r="B55" s="347"/>
      <c r="C55" s="345"/>
      <c r="D55" s="224"/>
      <c r="E55" s="224"/>
      <c r="F55" s="1056"/>
      <c r="G55" s="1359" t="s">
        <v>311</v>
      </c>
      <c r="H55" s="1365">
        <v>312570</v>
      </c>
      <c r="I55" s="1355"/>
      <c r="J55" s="1376"/>
      <c r="K55" s="1356"/>
      <c r="L55" s="1362"/>
      <c r="M55" s="1355" t="s">
        <v>29</v>
      </c>
      <c r="N55" s="1369">
        <v>2</v>
      </c>
      <c r="O55" s="1357" t="s">
        <v>36</v>
      </c>
      <c r="P55" s="1378">
        <f t="shared" si="2"/>
        <v>625140</v>
      </c>
    </row>
    <row r="56" spans="1:16" ht="15" customHeight="1">
      <c r="A56" s="321"/>
      <c r="B56" s="347"/>
      <c r="C56" s="345"/>
      <c r="D56" s="224"/>
      <c r="E56" s="224"/>
      <c r="F56" s="1056"/>
      <c r="G56" s="1359" t="s">
        <v>312</v>
      </c>
      <c r="H56" s="1365">
        <v>281060</v>
      </c>
      <c r="I56" s="1355"/>
      <c r="J56" s="1376"/>
      <c r="K56" s="1356"/>
      <c r="L56" s="1355"/>
      <c r="M56" s="1355" t="s">
        <v>29</v>
      </c>
      <c r="N56" s="1369">
        <v>3</v>
      </c>
      <c r="O56" s="1357" t="s">
        <v>36</v>
      </c>
      <c r="P56" s="1378">
        <f t="shared" si="2"/>
        <v>843180</v>
      </c>
    </row>
    <row r="57" spans="1:16" ht="15" customHeight="1">
      <c r="A57" s="321"/>
      <c r="B57" s="347"/>
      <c r="C57" s="348"/>
      <c r="D57" s="337"/>
      <c r="E57" s="412"/>
      <c r="F57" s="1055"/>
      <c r="G57" s="1359" t="s">
        <v>313</v>
      </c>
      <c r="H57" s="1365">
        <v>292060</v>
      </c>
      <c r="I57" s="1355"/>
      <c r="J57" s="1379"/>
      <c r="K57" s="1367"/>
      <c r="L57" s="1370"/>
      <c r="M57" s="1355" t="s">
        <v>29</v>
      </c>
      <c r="N57" s="1369">
        <v>9</v>
      </c>
      <c r="O57" s="1369" t="s">
        <v>36</v>
      </c>
      <c r="P57" s="1378">
        <f t="shared" si="2"/>
        <v>2628540</v>
      </c>
    </row>
    <row r="58" spans="1:16" ht="15" customHeight="1">
      <c r="A58" s="321"/>
      <c r="B58" s="347"/>
      <c r="C58" s="348"/>
      <c r="D58" s="337"/>
      <c r="E58" s="412"/>
      <c r="F58" s="1055"/>
      <c r="G58" s="1359" t="s">
        <v>314</v>
      </c>
      <c r="H58" s="1365">
        <v>281060</v>
      </c>
      <c r="I58" s="1355"/>
      <c r="J58" s="1379"/>
      <c r="K58" s="1367"/>
      <c r="L58" s="1368"/>
      <c r="M58" s="1355" t="s">
        <v>29</v>
      </c>
      <c r="N58" s="1369">
        <v>5</v>
      </c>
      <c r="O58" s="1369" t="s">
        <v>36</v>
      </c>
      <c r="P58" s="1378">
        <f t="shared" si="2"/>
        <v>1405300</v>
      </c>
    </row>
    <row r="59" spans="1:16" ht="15" customHeight="1">
      <c r="A59" s="321"/>
      <c r="B59" s="347"/>
      <c r="C59" s="348"/>
      <c r="D59" s="337"/>
      <c r="E59" s="412"/>
      <c r="F59" s="1055"/>
      <c r="G59" s="1359" t="s">
        <v>315</v>
      </c>
      <c r="H59" s="1360">
        <v>292060</v>
      </c>
      <c r="I59" s="1355"/>
      <c r="J59" s="1376"/>
      <c r="K59" s="1356"/>
      <c r="L59" s="1362"/>
      <c r="M59" s="1355" t="s">
        <v>29</v>
      </c>
      <c r="N59" s="1369">
        <v>7</v>
      </c>
      <c r="O59" s="1357" t="s">
        <v>36</v>
      </c>
      <c r="P59" s="1378">
        <f t="shared" si="2"/>
        <v>2044420</v>
      </c>
    </row>
    <row r="60" spans="1:16" ht="15" customHeight="1">
      <c r="A60" s="321"/>
      <c r="B60" s="347"/>
      <c r="C60" s="348"/>
      <c r="D60" s="337"/>
      <c r="E60" s="412"/>
      <c r="F60" s="1055"/>
      <c r="G60" s="1359" t="s">
        <v>316</v>
      </c>
      <c r="H60" s="1365">
        <v>222370</v>
      </c>
      <c r="I60" s="1355"/>
      <c r="J60" s="1379"/>
      <c r="K60" s="1367"/>
      <c r="L60" s="1368"/>
      <c r="M60" s="1355" t="s">
        <v>29</v>
      </c>
      <c r="N60" s="1369">
        <v>3</v>
      </c>
      <c r="O60" s="1369" t="s">
        <v>36</v>
      </c>
      <c r="P60" s="1378">
        <f t="shared" si="2"/>
        <v>667110</v>
      </c>
    </row>
    <row r="61" spans="1:16" ht="15" customHeight="1">
      <c r="A61" s="321"/>
      <c r="B61" s="347"/>
      <c r="C61" s="348"/>
      <c r="D61" s="337"/>
      <c r="E61" s="412"/>
      <c r="F61" s="1055"/>
      <c r="G61" s="1359" t="s">
        <v>317</v>
      </c>
      <c r="H61" s="1365">
        <v>243920</v>
      </c>
      <c r="I61" s="1355"/>
      <c r="J61" s="1379"/>
      <c r="K61" s="1367"/>
      <c r="L61" s="1368"/>
      <c r="M61" s="1355" t="s">
        <v>29</v>
      </c>
      <c r="N61" s="1369">
        <v>9</v>
      </c>
      <c r="O61" s="1369" t="s">
        <v>36</v>
      </c>
      <c r="P61" s="1378">
        <f t="shared" si="2"/>
        <v>2195280</v>
      </c>
    </row>
    <row r="62" spans="1:16" ht="15" customHeight="1">
      <c r="A62" s="321"/>
      <c r="B62" s="347"/>
      <c r="C62" s="348"/>
      <c r="D62" s="337"/>
      <c r="E62" s="412"/>
      <c r="F62" s="1055"/>
      <c r="G62" s="1359" t="s">
        <v>318</v>
      </c>
      <c r="H62" s="1365">
        <v>275250</v>
      </c>
      <c r="I62" s="1355"/>
      <c r="J62" s="1379"/>
      <c r="K62" s="1367"/>
      <c r="L62" s="1368"/>
      <c r="M62" s="1355" t="s">
        <v>29</v>
      </c>
      <c r="N62" s="1369">
        <v>1</v>
      </c>
      <c r="O62" s="1369" t="s">
        <v>36</v>
      </c>
      <c r="P62" s="1378">
        <f t="shared" si="2"/>
        <v>275250</v>
      </c>
    </row>
    <row r="63" spans="1:16" ht="15" customHeight="1">
      <c r="A63" s="321"/>
      <c r="B63" s="347"/>
      <c r="C63" s="348"/>
      <c r="D63" s="337"/>
      <c r="E63" s="412"/>
      <c r="F63" s="1055"/>
      <c r="G63" s="1359" t="s">
        <v>319</v>
      </c>
      <c r="H63" s="1365">
        <v>217520</v>
      </c>
      <c r="I63" s="1355"/>
      <c r="J63" s="1379"/>
      <c r="K63" s="1367"/>
      <c r="L63" s="1368"/>
      <c r="M63" s="1355" t="s">
        <v>29</v>
      </c>
      <c r="N63" s="1369">
        <v>10.5</v>
      </c>
      <c r="O63" s="1369" t="s">
        <v>36</v>
      </c>
      <c r="P63" s="1378">
        <f>H63*N63</f>
        <v>2283960</v>
      </c>
    </row>
    <row r="64" spans="1:16" ht="15" customHeight="1">
      <c r="A64" s="321"/>
      <c r="B64" s="349"/>
      <c r="C64" s="415" t="s">
        <v>12</v>
      </c>
      <c r="D64" s="142">
        <v>30037130</v>
      </c>
      <c r="E64" s="142">
        <f>SUM(P65)</f>
        <v>39961679</v>
      </c>
      <c r="F64" s="1009">
        <f>E64-D64</f>
        <v>9924549</v>
      </c>
      <c r="G64" s="341"/>
      <c r="H64" s="307"/>
      <c r="I64" s="1271"/>
      <c r="J64" s="342"/>
      <c r="K64" s="1271"/>
      <c r="L64" s="307"/>
      <c r="M64" s="1271"/>
      <c r="N64" s="559"/>
      <c r="O64" s="559"/>
      <c r="P64" s="326"/>
    </row>
    <row r="65" spans="1:18" ht="15" customHeight="1">
      <c r="A65" s="321"/>
      <c r="B65" s="349"/>
      <c r="C65" s="351"/>
      <c r="D65" s="239"/>
      <c r="E65" s="142"/>
      <c r="F65" s="1009"/>
      <c r="G65" s="341" t="s">
        <v>236</v>
      </c>
      <c r="H65" s="1624">
        <f>(P9+P28+P35+P51)</f>
        <v>351861593</v>
      </c>
      <c r="I65" s="1624"/>
      <c r="J65" s="352"/>
      <c r="K65" s="1246" t="s">
        <v>29</v>
      </c>
      <c r="L65" s="307"/>
      <c r="M65" s="1271"/>
      <c r="N65" s="219">
        <v>12</v>
      </c>
      <c r="O65" s="1248" t="s">
        <v>36</v>
      </c>
      <c r="P65" s="229">
        <f>ROUNDUP((H65/12),-1)+10639879</f>
        <v>39961679</v>
      </c>
      <c r="R65" s="1049"/>
    </row>
    <row r="66" spans="1:18" ht="15" customHeight="1">
      <c r="A66" s="321"/>
      <c r="B66" s="349"/>
      <c r="C66" s="351" t="s">
        <v>119</v>
      </c>
      <c r="D66" s="239">
        <v>38530952</v>
      </c>
      <c r="E66" s="353">
        <f>SUM(P67:P71)</f>
        <v>37190340</v>
      </c>
      <c r="F66" s="1009">
        <f>E66-D66</f>
        <v>-1340612</v>
      </c>
      <c r="G66" s="341"/>
      <c r="H66" s="307"/>
      <c r="I66" s="1271"/>
      <c r="J66" s="342"/>
      <c r="K66" s="1271"/>
      <c r="L66" s="307"/>
      <c r="M66" s="1271"/>
      <c r="N66" s="559"/>
      <c r="O66" s="559"/>
      <c r="P66" s="326"/>
    </row>
    <row r="67" spans="1:18" ht="15" customHeight="1">
      <c r="A67" s="321"/>
      <c r="B67" s="349"/>
      <c r="C67" s="354"/>
      <c r="D67" s="239"/>
      <c r="E67" s="356"/>
      <c r="F67" s="1057"/>
      <c r="G67" s="1244" t="s">
        <v>188</v>
      </c>
      <c r="H67" s="1608">
        <f>H65+18050000</f>
        <v>369911593</v>
      </c>
      <c r="I67" s="1608"/>
      <c r="J67" s="1246" t="s">
        <v>29</v>
      </c>
      <c r="K67" s="1266"/>
      <c r="L67" s="1609">
        <v>4.4999999999999998E-2</v>
      </c>
      <c r="M67" s="1609"/>
      <c r="N67" s="1609"/>
      <c r="O67" s="1248" t="s">
        <v>36</v>
      </c>
      <c r="P67" s="583">
        <f>ROUNDUP((H67*L67),-1)</f>
        <v>16646030</v>
      </c>
    </row>
    <row r="68" spans="1:18" ht="15" customHeight="1">
      <c r="A68" s="321"/>
      <c r="B68" s="338"/>
      <c r="C68" s="338"/>
      <c r="D68" s="224"/>
      <c r="E68" s="330"/>
      <c r="F68" s="1053"/>
      <c r="G68" s="1244" t="s">
        <v>198</v>
      </c>
      <c r="H68" s="1606">
        <f>H67</f>
        <v>369911593</v>
      </c>
      <c r="I68" s="1606"/>
      <c r="J68" s="1246" t="s">
        <v>29</v>
      </c>
      <c r="K68" s="1266"/>
      <c r="L68" s="1605">
        <v>3.4950000000000002E-2</v>
      </c>
      <c r="M68" s="1605"/>
      <c r="N68" s="1605"/>
      <c r="O68" s="1248" t="s">
        <v>36</v>
      </c>
      <c r="P68" s="229">
        <f>ROUNDUP((H68*L68),-1)</f>
        <v>12928420</v>
      </c>
    </row>
    <row r="69" spans="1:18" ht="15" customHeight="1">
      <c r="A69" s="321"/>
      <c r="B69" s="338"/>
      <c r="C69" s="338"/>
      <c r="D69" s="224"/>
      <c r="E69" s="330"/>
      <c r="F69" s="1053"/>
      <c r="G69" s="1244" t="s">
        <v>195</v>
      </c>
      <c r="H69" s="1606">
        <f>P68</f>
        <v>12928420</v>
      </c>
      <c r="I69" s="1606"/>
      <c r="J69" s="1246" t="s">
        <v>29</v>
      </c>
      <c r="K69" s="1266"/>
      <c r="L69" s="1605">
        <v>0.1227</v>
      </c>
      <c r="M69" s="1605"/>
      <c r="N69" s="1605"/>
      <c r="O69" s="1248" t="s">
        <v>36</v>
      </c>
      <c r="P69" s="229">
        <f>ROUNDUP((H69*L69),-1)</f>
        <v>1586320</v>
      </c>
    </row>
    <row r="70" spans="1:18" ht="15" customHeight="1">
      <c r="A70" s="321"/>
      <c r="B70" s="338"/>
      <c r="C70" s="417"/>
      <c r="D70" s="224"/>
      <c r="E70" s="330"/>
      <c r="F70" s="1053"/>
      <c r="G70" s="1244" t="s">
        <v>203</v>
      </c>
      <c r="H70" s="1606">
        <f>H68</f>
        <v>369911593</v>
      </c>
      <c r="I70" s="1606"/>
      <c r="J70" s="1246" t="s">
        <v>29</v>
      </c>
      <c r="K70" s="1266"/>
      <c r="L70" s="1605">
        <v>1.0500000000000001E-2</v>
      </c>
      <c r="M70" s="1605"/>
      <c r="N70" s="1605"/>
      <c r="O70" s="1248" t="s">
        <v>36</v>
      </c>
      <c r="P70" s="229">
        <f>ROUNDUP((H70*L70),-1)</f>
        <v>3884080</v>
      </c>
    </row>
    <row r="71" spans="1:18" ht="15" customHeight="1">
      <c r="A71" s="321"/>
      <c r="B71" s="338"/>
      <c r="C71" s="417"/>
      <c r="D71" s="224"/>
      <c r="E71" s="330"/>
      <c r="F71" s="1053"/>
      <c r="G71" s="1244" t="s">
        <v>184</v>
      </c>
      <c r="H71" s="1606">
        <f>H67</f>
        <v>369911593</v>
      </c>
      <c r="I71" s="1606"/>
      <c r="J71" s="1246" t="s">
        <v>29</v>
      </c>
      <c r="K71" s="1266"/>
      <c r="L71" s="1607">
        <v>5.7999999999999996E-3</v>
      </c>
      <c r="M71" s="1607"/>
      <c r="N71" s="1607"/>
      <c r="O71" s="1248" t="s">
        <v>36</v>
      </c>
      <c r="P71" s="229">
        <f>ROUNDUP((H71*L71),-1)</f>
        <v>2145490</v>
      </c>
    </row>
    <row r="72" spans="1:18" ht="15" customHeight="1">
      <c r="A72" s="321"/>
      <c r="B72" s="338"/>
      <c r="C72" s="350" t="s">
        <v>67</v>
      </c>
      <c r="D72" s="142">
        <v>0</v>
      </c>
      <c r="E72" s="365">
        <f>P73</f>
        <v>0</v>
      </c>
      <c r="F72" s="1058">
        <f>E72-D72</f>
        <v>0</v>
      </c>
      <c r="G72" s="341"/>
      <c r="H72" s="1271"/>
      <c r="I72" s="1271"/>
      <c r="J72" s="544"/>
      <c r="K72" s="1271"/>
      <c r="L72" s="1272"/>
      <c r="M72" s="1272"/>
      <c r="N72" s="1272"/>
      <c r="O72" s="559"/>
      <c r="P72" s="222"/>
    </row>
    <row r="73" spans="1:18" ht="15" customHeight="1">
      <c r="A73" s="321"/>
      <c r="B73" s="338"/>
      <c r="C73" s="417"/>
      <c r="D73" s="224"/>
      <c r="E73" s="330"/>
      <c r="F73" s="1053"/>
      <c r="G73" s="1244"/>
      <c r="H73" s="1266"/>
      <c r="I73" s="1266"/>
      <c r="J73" s="1247"/>
      <c r="K73" s="1266"/>
      <c r="L73" s="1267"/>
      <c r="M73" s="1267"/>
      <c r="N73" s="1267"/>
      <c r="O73" s="1248"/>
      <c r="P73" s="229"/>
    </row>
    <row r="74" spans="1:18" ht="15" customHeight="1">
      <c r="A74" s="321"/>
      <c r="B74" s="351" t="s">
        <v>116</v>
      </c>
      <c r="C74" s="362" t="s">
        <v>201</v>
      </c>
      <c r="D74" s="142">
        <f>D75+D77</f>
        <v>8680000</v>
      </c>
      <c r="E74" s="142">
        <f>E75+E77</f>
        <v>6280000</v>
      </c>
      <c r="F74" s="1009">
        <f>E74-D74</f>
        <v>-2400000</v>
      </c>
      <c r="G74" s="418"/>
      <c r="H74" s="307"/>
      <c r="I74" s="1271"/>
      <c r="J74" s="308"/>
      <c r="K74" s="1271"/>
      <c r="L74" s="419"/>
      <c r="M74" s="1271"/>
      <c r="N74" s="559"/>
      <c r="O74" s="559"/>
      <c r="P74" s="420"/>
    </row>
    <row r="75" spans="1:18" ht="15" customHeight="1">
      <c r="A75" s="321"/>
      <c r="B75" s="421"/>
      <c r="C75" s="304" t="s">
        <v>124</v>
      </c>
      <c r="D75" s="142">
        <v>4200000</v>
      </c>
      <c r="E75" s="142">
        <f>SUM(P76:P76)</f>
        <v>4200000</v>
      </c>
      <c r="F75" s="1009">
        <f>E75-D75</f>
        <v>0</v>
      </c>
      <c r="G75" s="306"/>
      <c r="H75" s="307"/>
      <c r="I75" s="544"/>
      <c r="J75" s="308"/>
      <c r="K75" s="544"/>
      <c r="L75" s="544"/>
      <c r="M75" s="1271"/>
      <c r="N75" s="559"/>
      <c r="O75" s="559"/>
      <c r="P75" s="422"/>
    </row>
    <row r="76" spans="1:18" ht="15" customHeight="1">
      <c r="A76" s="321"/>
      <c r="B76" s="349"/>
      <c r="C76" s="328"/>
      <c r="D76" s="239"/>
      <c r="E76" s="239"/>
      <c r="F76" s="1011"/>
      <c r="G76" s="1308" t="s">
        <v>53</v>
      </c>
      <c r="H76" s="1302">
        <v>350000</v>
      </c>
      <c r="I76" s="1300"/>
      <c r="J76" s="1307"/>
      <c r="K76" s="1300"/>
      <c r="L76" s="1300"/>
      <c r="M76" s="1300" t="s">
        <v>29</v>
      </c>
      <c r="N76" s="1297">
        <v>12</v>
      </c>
      <c r="O76" s="1297" t="s">
        <v>36</v>
      </c>
      <c r="P76" s="1296">
        <f>H76*N76</f>
        <v>4200000</v>
      </c>
    </row>
    <row r="77" spans="1:18" ht="15" customHeight="1">
      <c r="A77" s="321"/>
      <c r="B77" s="410"/>
      <c r="C77" s="351" t="s">
        <v>121</v>
      </c>
      <c r="D77" s="142">
        <v>4480000</v>
      </c>
      <c r="E77" s="142">
        <f>P77</f>
        <v>2080000</v>
      </c>
      <c r="F77" s="1009">
        <f>E77-D77</f>
        <v>-2400000</v>
      </c>
      <c r="G77" s="306"/>
      <c r="H77" s="307"/>
      <c r="I77" s="544"/>
      <c r="J77" s="558"/>
      <c r="K77" s="1271"/>
      <c r="L77" s="419"/>
      <c r="M77" s="544"/>
      <c r="N77" s="559"/>
      <c r="O77" s="559"/>
      <c r="P77" s="560">
        <f>SUM(P78:P79)</f>
        <v>2080000</v>
      </c>
    </row>
    <row r="78" spans="1:18" ht="15" customHeight="1">
      <c r="A78" s="321"/>
      <c r="B78" s="410"/>
      <c r="C78" s="349"/>
      <c r="D78" s="424"/>
      <c r="E78" s="224"/>
      <c r="F78" s="1059"/>
      <c r="G78" s="378" t="s">
        <v>74</v>
      </c>
      <c r="H78" s="1245">
        <v>8000</v>
      </c>
      <c r="I78" s="1246" t="s">
        <v>29</v>
      </c>
      <c r="J78" s="1247">
        <v>16</v>
      </c>
      <c r="K78" s="1266"/>
      <c r="L78" s="413"/>
      <c r="M78" s="1246" t="s">
        <v>29</v>
      </c>
      <c r="N78" s="1248">
        <v>5</v>
      </c>
      <c r="O78" s="1248" t="s">
        <v>36</v>
      </c>
      <c r="P78" s="1252">
        <f>H78*J78*N78</f>
        <v>640000</v>
      </c>
    </row>
    <row r="79" spans="1:18" ht="15" customHeight="1">
      <c r="A79" s="425"/>
      <c r="B79" s="349"/>
      <c r="C79" s="349"/>
      <c r="D79" s="424"/>
      <c r="E79" s="224"/>
      <c r="F79" s="1059"/>
      <c r="G79" s="1306" t="s">
        <v>16</v>
      </c>
      <c r="H79" s="1305">
        <v>8000</v>
      </c>
      <c r="I79" s="1279" t="s">
        <v>29</v>
      </c>
      <c r="J79" s="1286">
        <v>18</v>
      </c>
      <c r="K79" s="1290"/>
      <c r="L79" s="1289"/>
      <c r="M79" s="1279" t="s">
        <v>29</v>
      </c>
      <c r="N79" s="1304">
        <v>10</v>
      </c>
      <c r="O79" s="1289" t="s">
        <v>36</v>
      </c>
      <c r="P79" s="1276">
        <f>H79*J79*N79</f>
        <v>1440000</v>
      </c>
    </row>
    <row r="80" spans="1:18" ht="15" customHeight="1">
      <c r="A80" s="429"/>
      <c r="B80" s="361" t="s">
        <v>205</v>
      </c>
      <c r="C80" s="362" t="s">
        <v>193</v>
      </c>
      <c r="D80" s="142">
        <f>D81+D83+D103+D108+D132+D138</f>
        <v>85643388</v>
      </c>
      <c r="E80" s="142">
        <f>E81+E83+E103+E108+E132+E138</f>
        <v>88777888</v>
      </c>
      <c r="F80" s="1009">
        <f>E80-D80</f>
        <v>3134500</v>
      </c>
      <c r="G80" s="341"/>
      <c r="H80" s="307"/>
      <c r="I80" s="1271"/>
      <c r="J80" s="342"/>
      <c r="K80" s="1271"/>
      <c r="L80" s="307"/>
      <c r="M80" s="1271"/>
      <c r="N80" s="559"/>
      <c r="O80" s="559"/>
      <c r="P80" s="326"/>
    </row>
    <row r="81" spans="1:16" ht="15" customHeight="1">
      <c r="A81" s="429"/>
      <c r="B81" s="364"/>
      <c r="C81" s="351" t="s">
        <v>190</v>
      </c>
      <c r="D81" s="353">
        <v>23400000</v>
      </c>
      <c r="E81" s="142">
        <f>SUM(P82:P82)</f>
        <v>23400000</v>
      </c>
      <c r="F81" s="1009">
        <f>E81-D81</f>
        <v>0</v>
      </c>
      <c r="G81" s="216"/>
      <c r="H81" s="430"/>
      <c r="I81" s="1246"/>
      <c r="J81" s="431"/>
      <c r="K81" s="1246"/>
      <c r="L81" s="432"/>
      <c r="M81" s="132"/>
      <c r="N81" s="433"/>
      <c r="O81" s="132"/>
      <c r="P81" s="434"/>
    </row>
    <row r="82" spans="1:16" ht="15" customHeight="1">
      <c r="A82" s="429"/>
      <c r="B82" s="364"/>
      <c r="C82" s="421"/>
      <c r="D82" s="224"/>
      <c r="E82" s="239"/>
      <c r="F82" s="1011"/>
      <c r="G82" s="216" t="s">
        <v>239</v>
      </c>
      <c r="H82" s="430">
        <v>10000</v>
      </c>
      <c r="I82" s="132" t="s">
        <v>29</v>
      </c>
      <c r="J82" s="431">
        <v>13</v>
      </c>
      <c r="K82" s="132" t="s">
        <v>29</v>
      </c>
      <c r="L82" s="432">
        <v>15</v>
      </c>
      <c r="M82" s="132" t="s">
        <v>29</v>
      </c>
      <c r="N82" s="433">
        <v>12</v>
      </c>
      <c r="O82" s="132" t="s">
        <v>36</v>
      </c>
      <c r="P82" s="434">
        <f>(H82*L82*J82*N82)</f>
        <v>23400000</v>
      </c>
    </row>
    <row r="83" spans="1:16" ht="15" customHeight="1">
      <c r="A83" s="429"/>
      <c r="B83" s="364"/>
      <c r="C83" s="435" t="s">
        <v>114</v>
      </c>
      <c r="D83" s="142">
        <v>19705388</v>
      </c>
      <c r="E83" s="142">
        <f>SUM(P84:P102)</f>
        <v>20789888</v>
      </c>
      <c r="F83" s="1009">
        <f>E83-D83</f>
        <v>1084500</v>
      </c>
      <c r="G83" s="366"/>
      <c r="H83" s="367"/>
      <c r="I83" s="1269"/>
      <c r="J83" s="368"/>
      <c r="K83" s="1269"/>
      <c r="L83" s="367"/>
      <c r="M83" s="1269"/>
      <c r="N83" s="369"/>
      <c r="O83" s="369"/>
      <c r="P83" s="436"/>
    </row>
    <row r="84" spans="1:16" ht="15" customHeight="1">
      <c r="A84" s="360"/>
      <c r="B84" s="437"/>
      <c r="C84" s="438"/>
      <c r="D84" s="424"/>
      <c r="E84" s="424"/>
      <c r="F84" s="1060"/>
      <c r="G84" s="1303" t="s">
        <v>141</v>
      </c>
      <c r="H84" s="1302">
        <v>20</v>
      </c>
      <c r="I84" s="1300" t="s">
        <v>29</v>
      </c>
      <c r="J84" s="1301">
        <v>15</v>
      </c>
      <c r="K84" s="1300"/>
      <c r="L84" s="1300" t="s">
        <v>29</v>
      </c>
      <c r="M84" s="1299"/>
      <c r="N84" s="1298">
        <v>1700</v>
      </c>
      <c r="O84" s="1297" t="s">
        <v>36</v>
      </c>
      <c r="P84" s="1296">
        <f>(H84*J84*N84)</f>
        <v>510000</v>
      </c>
    </row>
    <row r="85" spans="1:16" ht="15" customHeight="1">
      <c r="A85" s="360"/>
      <c r="B85" s="439"/>
      <c r="C85" s="347"/>
      <c r="D85" s="224"/>
      <c r="E85" s="224"/>
      <c r="F85" s="1059"/>
      <c r="G85" s="373" t="s">
        <v>152</v>
      </c>
      <c r="H85" s="1245">
        <v>100000</v>
      </c>
      <c r="I85" s="1246" t="s">
        <v>29</v>
      </c>
      <c r="J85" s="1617"/>
      <c r="K85" s="1617"/>
      <c r="L85" s="1246" t="s">
        <v>29</v>
      </c>
      <c r="M85" s="440"/>
      <c r="N85" s="1248">
        <v>12</v>
      </c>
      <c r="O85" s="1248" t="s">
        <v>36</v>
      </c>
      <c r="P85" s="1252">
        <f>H85*N85</f>
        <v>1200000</v>
      </c>
    </row>
    <row r="86" spans="1:16" ht="15" customHeight="1">
      <c r="A86" s="360"/>
      <c r="B86" s="439"/>
      <c r="C86" s="347"/>
      <c r="D86" s="224"/>
      <c r="E86" s="224"/>
      <c r="F86" s="1059"/>
      <c r="G86" s="373" t="s">
        <v>229</v>
      </c>
      <c r="H86" s="1245">
        <v>200000</v>
      </c>
      <c r="I86" s="1246"/>
      <c r="J86" s="331"/>
      <c r="K86" s="1246"/>
      <c r="L86" s="1246" t="s">
        <v>29</v>
      </c>
      <c r="M86" s="1266"/>
      <c r="N86" s="1248">
        <v>12</v>
      </c>
      <c r="O86" s="1248" t="s">
        <v>36</v>
      </c>
      <c r="P86" s="1252">
        <f>H86*N86</f>
        <v>2400000</v>
      </c>
    </row>
    <row r="87" spans="1:16" ht="15" customHeight="1">
      <c r="A87" s="360"/>
      <c r="B87" s="439"/>
      <c r="C87" s="347"/>
      <c r="D87" s="224"/>
      <c r="E87" s="224"/>
      <c r="F87" s="1059"/>
      <c r="G87" s="1294" t="s">
        <v>10</v>
      </c>
      <c r="H87" s="1283">
        <v>2072000</v>
      </c>
      <c r="I87" s="1279"/>
      <c r="J87" s="1295"/>
      <c r="K87" s="1279"/>
      <c r="L87" s="1279" t="s">
        <v>29</v>
      </c>
      <c r="M87" s="1290"/>
      <c r="N87" s="1289">
        <v>1</v>
      </c>
      <c r="O87" s="1289" t="s">
        <v>36</v>
      </c>
      <c r="P87" s="1276">
        <f>(H87*N87)</f>
        <v>2072000</v>
      </c>
    </row>
    <row r="88" spans="1:16" ht="15" customHeight="1">
      <c r="A88" s="360"/>
      <c r="B88" s="439"/>
      <c r="C88" s="347"/>
      <c r="D88" s="224"/>
      <c r="E88" s="224"/>
      <c r="F88" s="1059"/>
      <c r="G88" s="373" t="s">
        <v>125</v>
      </c>
      <c r="H88" s="1245">
        <v>847788</v>
      </c>
      <c r="I88" s="1246"/>
      <c r="J88" s="331"/>
      <c r="K88" s="1246"/>
      <c r="L88" s="1246" t="s">
        <v>29</v>
      </c>
      <c r="M88" s="1266"/>
      <c r="N88" s="1248">
        <v>1</v>
      </c>
      <c r="O88" s="1248" t="s">
        <v>36</v>
      </c>
      <c r="P88" s="1252">
        <f>H88</f>
        <v>847788</v>
      </c>
    </row>
    <row r="89" spans="1:16" ht="15" customHeight="1">
      <c r="A89" s="360"/>
      <c r="B89" s="439"/>
      <c r="C89" s="347"/>
      <c r="D89" s="224"/>
      <c r="E89" s="224"/>
      <c r="F89" s="1059"/>
      <c r="G89" s="1294" t="s">
        <v>8</v>
      </c>
      <c r="H89" s="1283">
        <v>20000</v>
      </c>
      <c r="I89" s="1279"/>
      <c r="J89" s="1295"/>
      <c r="K89" s="1279"/>
      <c r="L89" s="1279" t="s">
        <v>29</v>
      </c>
      <c r="M89" s="1290"/>
      <c r="N89" s="1289">
        <v>12</v>
      </c>
      <c r="O89" s="1289" t="s">
        <v>36</v>
      </c>
      <c r="P89" s="1276">
        <f>H89*N89</f>
        <v>240000</v>
      </c>
    </row>
    <row r="90" spans="1:16" ht="15" customHeight="1">
      <c r="A90" s="360"/>
      <c r="B90" s="439"/>
      <c r="C90" s="347"/>
      <c r="D90" s="224"/>
      <c r="E90" s="224"/>
      <c r="F90" s="1059"/>
      <c r="G90" s="1294" t="s">
        <v>128</v>
      </c>
      <c r="H90" s="1283">
        <v>45000</v>
      </c>
      <c r="I90" s="1279"/>
      <c r="J90" s="1295"/>
      <c r="K90" s="1279"/>
      <c r="L90" s="1279" t="s">
        <v>29</v>
      </c>
      <c r="M90" s="1290"/>
      <c r="N90" s="1289">
        <v>12</v>
      </c>
      <c r="O90" s="1289" t="s">
        <v>36</v>
      </c>
      <c r="P90" s="1276">
        <f>H90*N90</f>
        <v>540000</v>
      </c>
    </row>
    <row r="91" spans="1:16" ht="15" customHeight="1">
      <c r="A91" s="360"/>
      <c r="B91" s="439"/>
      <c r="C91" s="347"/>
      <c r="D91" s="224"/>
      <c r="E91" s="224"/>
      <c r="F91" s="1059"/>
      <c r="G91" s="373" t="s">
        <v>13</v>
      </c>
      <c r="H91" s="1245">
        <v>82500</v>
      </c>
      <c r="I91" s="1246"/>
      <c r="J91" s="331"/>
      <c r="K91" s="1246"/>
      <c r="L91" s="1246" t="s">
        <v>29</v>
      </c>
      <c r="M91" s="1266"/>
      <c r="N91" s="1248">
        <v>12</v>
      </c>
      <c r="O91" s="1248" t="s">
        <v>36</v>
      </c>
      <c r="P91" s="1252">
        <f>H91*N91</f>
        <v>990000</v>
      </c>
    </row>
    <row r="92" spans="1:16" ht="15" customHeight="1">
      <c r="A92" s="360"/>
      <c r="B92" s="439"/>
      <c r="C92" s="347"/>
      <c r="D92" s="224"/>
      <c r="E92" s="224"/>
      <c r="F92" s="1059"/>
      <c r="G92" s="373" t="s">
        <v>130</v>
      </c>
      <c r="H92" s="1245">
        <v>44000</v>
      </c>
      <c r="I92" s="1246" t="s">
        <v>29</v>
      </c>
      <c r="J92" s="1250">
        <v>1</v>
      </c>
      <c r="K92" s="1246"/>
      <c r="L92" s="1246" t="s">
        <v>29</v>
      </c>
      <c r="M92" s="1266"/>
      <c r="N92" s="1248">
        <v>12</v>
      </c>
      <c r="O92" s="1248" t="s">
        <v>36</v>
      </c>
      <c r="P92" s="1252">
        <f>(H92*J92*N92)</f>
        <v>528000</v>
      </c>
    </row>
    <row r="93" spans="1:16" ht="15" customHeight="1">
      <c r="A93" s="360"/>
      <c r="B93" s="439"/>
      <c r="C93" s="347"/>
      <c r="D93" s="224"/>
      <c r="E93" s="224"/>
      <c r="F93" s="1059"/>
      <c r="G93" s="373" t="s">
        <v>131</v>
      </c>
      <c r="H93" s="1245">
        <v>70000</v>
      </c>
      <c r="I93" s="1246"/>
      <c r="J93" s="1250"/>
      <c r="K93" s="1246"/>
      <c r="L93" s="1246" t="s">
        <v>29</v>
      </c>
      <c r="M93" s="1266"/>
      <c r="N93" s="1248">
        <v>12</v>
      </c>
      <c r="O93" s="1248" t="s">
        <v>36</v>
      </c>
      <c r="P93" s="1252">
        <f>H93*N93</f>
        <v>840000</v>
      </c>
    </row>
    <row r="94" spans="1:16" ht="15" customHeight="1">
      <c r="A94" s="360"/>
      <c r="B94" s="439"/>
      <c r="C94" s="347"/>
      <c r="D94" s="224"/>
      <c r="E94" s="224"/>
      <c r="F94" s="1059"/>
      <c r="G94" s="373" t="s">
        <v>135</v>
      </c>
      <c r="H94" s="1245">
        <v>16500</v>
      </c>
      <c r="I94" s="1246" t="s">
        <v>29</v>
      </c>
      <c r="J94" s="1250">
        <v>1</v>
      </c>
      <c r="K94" s="1246"/>
      <c r="L94" s="1246" t="s">
        <v>29</v>
      </c>
      <c r="M94" s="1266"/>
      <c r="N94" s="1248">
        <v>12</v>
      </c>
      <c r="O94" s="1248" t="s">
        <v>36</v>
      </c>
      <c r="P94" s="344">
        <f>(H94*J94*N94)</f>
        <v>198000</v>
      </c>
    </row>
    <row r="95" spans="1:16" ht="15" customHeight="1">
      <c r="A95" s="360"/>
      <c r="B95" s="439"/>
      <c r="C95" s="347"/>
      <c r="D95" s="224"/>
      <c r="E95" s="224"/>
      <c r="F95" s="1059"/>
      <c r="G95" s="373" t="s">
        <v>196</v>
      </c>
      <c r="H95" s="1245">
        <v>33000</v>
      </c>
      <c r="I95" s="1246" t="s">
        <v>29</v>
      </c>
      <c r="J95" s="1250">
        <v>3</v>
      </c>
      <c r="K95" s="1246"/>
      <c r="L95" s="1246" t="s">
        <v>29</v>
      </c>
      <c r="M95" s="1266"/>
      <c r="N95" s="1248">
        <v>12</v>
      </c>
      <c r="O95" s="1248" t="s">
        <v>36</v>
      </c>
      <c r="P95" s="344">
        <f>(H95*J95*N95)</f>
        <v>1188000</v>
      </c>
    </row>
    <row r="96" spans="1:16" ht="15" customHeight="1">
      <c r="A96" s="360"/>
      <c r="B96" s="439"/>
      <c r="C96" s="347"/>
      <c r="D96" s="224"/>
      <c r="E96" s="224"/>
      <c r="F96" s="1059"/>
      <c r="G96" s="1294" t="s">
        <v>149</v>
      </c>
      <c r="H96" s="1283">
        <v>143000</v>
      </c>
      <c r="I96" s="1279"/>
      <c r="J96" s="1291"/>
      <c r="K96" s="1279"/>
      <c r="L96" s="1279" t="s">
        <v>29</v>
      </c>
      <c r="M96" s="1290"/>
      <c r="N96" s="1289">
        <v>12</v>
      </c>
      <c r="O96" s="1289" t="s">
        <v>36</v>
      </c>
      <c r="P96" s="1293">
        <f>H96*N96</f>
        <v>1716000</v>
      </c>
    </row>
    <row r="97" spans="1:16" ht="15" customHeight="1">
      <c r="A97" s="360"/>
      <c r="B97" s="439"/>
      <c r="C97" s="347"/>
      <c r="D97" s="224"/>
      <c r="E97" s="224"/>
      <c r="F97" s="1059"/>
      <c r="G97" s="373" t="s">
        <v>133</v>
      </c>
      <c r="H97" s="1245">
        <v>200000</v>
      </c>
      <c r="I97" s="1246"/>
      <c r="J97" s="1250"/>
      <c r="K97" s="1246"/>
      <c r="L97" s="1246" t="s">
        <v>29</v>
      </c>
      <c r="M97" s="1266"/>
      <c r="N97" s="1248">
        <v>12</v>
      </c>
      <c r="O97" s="1248" t="s">
        <v>36</v>
      </c>
      <c r="P97" s="1252">
        <f>H97*N97</f>
        <v>2400000</v>
      </c>
    </row>
    <row r="98" spans="1:16" ht="15" customHeight="1">
      <c r="A98" s="360"/>
      <c r="B98" s="439"/>
      <c r="C98" s="347"/>
      <c r="D98" s="224"/>
      <c r="E98" s="224"/>
      <c r="F98" s="1059"/>
      <c r="G98" s="378" t="s">
        <v>138</v>
      </c>
      <c r="H98" s="1245">
        <v>54900</v>
      </c>
      <c r="I98" s="1246" t="s">
        <v>29</v>
      </c>
      <c r="J98" s="1250">
        <v>2</v>
      </c>
      <c r="K98" s="1246"/>
      <c r="L98" s="1246" t="s">
        <v>29</v>
      </c>
      <c r="M98" s="1266"/>
      <c r="N98" s="1248">
        <v>12</v>
      </c>
      <c r="O98" s="1248" t="s">
        <v>36</v>
      </c>
      <c r="P98" s="1252">
        <f>(H98*J98*N98)</f>
        <v>1317600</v>
      </c>
    </row>
    <row r="99" spans="1:16" ht="15" customHeight="1">
      <c r="A99" s="360"/>
      <c r="B99" s="439"/>
      <c r="C99" s="347"/>
      <c r="D99" s="224"/>
      <c r="E99" s="224"/>
      <c r="F99" s="1059"/>
      <c r="G99" s="373" t="s">
        <v>139</v>
      </c>
      <c r="H99" s="1245">
        <v>100000</v>
      </c>
      <c r="I99" s="1246"/>
      <c r="J99" s="1250"/>
      <c r="K99" s="1246"/>
      <c r="L99" s="1246" t="s">
        <v>29</v>
      </c>
      <c r="M99" s="1266"/>
      <c r="N99" s="1248">
        <v>12</v>
      </c>
      <c r="O99" s="1248" t="s">
        <v>36</v>
      </c>
      <c r="P99" s="1252">
        <f>(H99*N99)</f>
        <v>1200000</v>
      </c>
    </row>
    <row r="100" spans="1:16" ht="15" customHeight="1">
      <c r="A100" s="360"/>
      <c r="B100" s="439"/>
      <c r="C100" s="347"/>
      <c r="D100" s="224"/>
      <c r="E100" s="224"/>
      <c r="F100" s="1059"/>
      <c r="G100" s="373" t="s">
        <v>120</v>
      </c>
      <c r="H100" s="1245">
        <v>126500</v>
      </c>
      <c r="I100" s="1246" t="s">
        <v>29</v>
      </c>
      <c r="J100" s="1250">
        <v>1</v>
      </c>
      <c r="K100" s="1246"/>
      <c r="L100" s="1246" t="s">
        <v>29</v>
      </c>
      <c r="M100" s="1266"/>
      <c r="N100" s="1248">
        <v>12</v>
      </c>
      <c r="O100" s="1248" t="s">
        <v>36</v>
      </c>
      <c r="P100" s="1252">
        <f>(H100*J100*N100)</f>
        <v>1518000</v>
      </c>
    </row>
    <row r="101" spans="1:16" ht="15" customHeight="1">
      <c r="A101" s="360"/>
      <c r="B101" s="439"/>
      <c r="C101" s="347"/>
      <c r="D101" s="224"/>
      <c r="E101" s="224"/>
      <c r="F101" s="1059"/>
      <c r="G101" s="1294" t="s">
        <v>303</v>
      </c>
      <c r="H101" s="1283">
        <v>17500</v>
      </c>
      <c r="I101" s="1279" t="s">
        <v>29</v>
      </c>
      <c r="J101" s="1354">
        <v>4</v>
      </c>
      <c r="K101" s="1355"/>
      <c r="L101" s="1355" t="s">
        <v>29</v>
      </c>
      <c r="M101" s="1356"/>
      <c r="N101" s="1357">
        <v>5</v>
      </c>
      <c r="O101" s="1357" t="s">
        <v>36</v>
      </c>
      <c r="P101" s="1276">
        <f>(H101*J101*N101)</f>
        <v>350000</v>
      </c>
    </row>
    <row r="102" spans="1:16" ht="15" customHeight="1">
      <c r="A102" s="360"/>
      <c r="B102" s="439"/>
      <c r="C102" s="347"/>
      <c r="D102" s="224"/>
      <c r="E102" s="224"/>
      <c r="F102" s="994"/>
      <c r="G102" s="1294" t="s">
        <v>327</v>
      </c>
      <c r="H102" s="1283">
        <v>734500</v>
      </c>
      <c r="I102" s="1279"/>
      <c r="J102" s="1291"/>
      <c r="K102" s="1279"/>
      <c r="L102" s="1279" t="s">
        <v>29</v>
      </c>
      <c r="M102" s="1351"/>
      <c r="N102" s="1289">
        <v>1</v>
      </c>
      <c r="O102" s="1289" t="s">
        <v>36</v>
      </c>
      <c r="P102" s="1276">
        <f>(H102*N102)</f>
        <v>734500</v>
      </c>
    </row>
    <row r="103" spans="1:16" ht="15" customHeight="1">
      <c r="A103" s="441"/>
      <c r="B103" s="338"/>
      <c r="C103" s="304" t="s">
        <v>134</v>
      </c>
      <c r="D103" s="353">
        <v>8888000</v>
      </c>
      <c r="E103" s="142">
        <f>SUM(P104:P107)</f>
        <v>8888000</v>
      </c>
      <c r="F103" s="1009">
        <f>E103-D103</f>
        <v>0</v>
      </c>
      <c r="G103" s="312"/>
      <c r="H103" s="307"/>
      <c r="I103" s="1271"/>
      <c r="J103" s="308"/>
      <c r="K103" s="1271"/>
      <c r="L103" s="419"/>
      <c r="M103" s="1271"/>
      <c r="N103" s="559"/>
      <c r="O103" s="559"/>
      <c r="P103" s="420"/>
    </row>
    <row r="104" spans="1:16" ht="15" customHeight="1">
      <c r="A104" s="441"/>
      <c r="B104" s="338"/>
      <c r="C104" s="338"/>
      <c r="D104" s="356"/>
      <c r="E104" s="442"/>
      <c r="F104" s="1059"/>
      <c r="G104" s="375" t="s">
        <v>276</v>
      </c>
      <c r="H104" s="367">
        <v>380000</v>
      </c>
      <c r="I104" s="132"/>
      <c r="J104" s="367"/>
      <c r="K104" s="132"/>
      <c r="L104" s="132" t="s">
        <v>29</v>
      </c>
      <c r="M104" s="1269"/>
      <c r="N104" s="369">
        <v>12</v>
      </c>
      <c r="O104" s="369" t="s">
        <v>36</v>
      </c>
      <c r="P104" s="443">
        <f>SUM(H104*N104)-60000</f>
        <v>4500000</v>
      </c>
    </row>
    <row r="105" spans="1:16" ht="15" customHeight="1">
      <c r="A105" s="360"/>
      <c r="B105" s="364"/>
      <c r="C105" s="338"/>
      <c r="D105" s="356"/>
      <c r="E105" s="442"/>
      <c r="F105" s="1059"/>
      <c r="G105" s="378" t="s">
        <v>247</v>
      </c>
      <c r="H105" s="1245">
        <v>100000</v>
      </c>
      <c r="I105" s="1246"/>
      <c r="J105" s="1245"/>
      <c r="K105" s="1246"/>
      <c r="L105" s="1246" t="s">
        <v>29</v>
      </c>
      <c r="M105" s="1266"/>
      <c r="N105" s="1248">
        <v>12</v>
      </c>
      <c r="O105" s="1248" t="s">
        <v>36</v>
      </c>
      <c r="P105" s="444">
        <f>SUM(H105*N105)</f>
        <v>1200000</v>
      </c>
    </row>
    <row r="106" spans="1:16" ht="15" customHeight="1">
      <c r="A106" s="360"/>
      <c r="B106" s="364"/>
      <c r="C106" s="338"/>
      <c r="D106" s="356"/>
      <c r="E106" s="442"/>
      <c r="F106" s="1059"/>
      <c r="G106" s="1292" t="s">
        <v>46</v>
      </c>
      <c r="H106" s="1283">
        <v>33000</v>
      </c>
      <c r="I106" s="1279" t="s">
        <v>29</v>
      </c>
      <c r="J106" s="1291">
        <v>3</v>
      </c>
      <c r="K106" s="1279"/>
      <c r="L106" s="1279" t="s">
        <v>29</v>
      </c>
      <c r="M106" s="1290"/>
      <c r="N106" s="1289">
        <v>12</v>
      </c>
      <c r="O106" s="1289" t="s">
        <v>36</v>
      </c>
      <c r="P106" s="1288">
        <f>ROUNDUP((H106*J106*N106),-1)</f>
        <v>1188000</v>
      </c>
    </row>
    <row r="107" spans="1:16" ht="15" customHeight="1">
      <c r="A107" s="360"/>
      <c r="B107" s="364"/>
      <c r="C107" s="338"/>
      <c r="D107" s="356"/>
      <c r="E107" s="442"/>
      <c r="F107" s="1059"/>
      <c r="G107" s="1287" t="s">
        <v>278</v>
      </c>
      <c r="H107" s="1381">
        <v>2300</v>
      </c>
      <c r="I107" s="1382" t="s">
        <v>29</v>
      </c>
      <c r="J107" s="1383">
        <v>72.5</v>
      </c>
      <c r="K107" s="1382"/>
      <c r="L107" s="1382" t="s">
        <v>29</v>
      </c>
      <c r="M107" s="1382"/>
      <c r="N107" s="1384">
        <v>12</v>
      </c>
      <c r="O107" s="1384" t="s">
        <v>36</v>
      </c>
      <c r="P107" s="1385">
        <f>SUM(H107*J107*N107)-1000</f>
        <v>2000000</v>
      </c>
    </row>
    <row r="108" spans="1:16" ht="15" customHeight="1">
      <c r="A108" s="360"/>
      <c r="B108" s="364"/>
      <c r="C108" s="351" t="s">
        <v>113</v>
      </c>
      <c r="D108" s="353">
        <v>11210000</v>
      </c>
      <c r="E108" s="142">
        <f>SUM(P109,P110,P111,P112,P121,P127,P129,P131,P130:P130)</f>
        <v>11210000</v>
      </c>
      <c r="F108" s="1009">
        <f>E108-D108</f>
        <v>0</v>
      </c>
      <c r="G108" s="445"/>
      <c r="H108" s="385"/>
      <c r="I108" s="426"/>
      <c r="J108" s="426"/>
      <c r="K108" s="426"/>
      <c r="L108" s="385"/>
      <c r="M108" s="426"/>
      <c r="N108" s="427"/>
      <c r="O108" s="427"/>
      <c r="P108" s="446"/>
    </row>
    <row r="109" spans="1:16" ht="15" customHeight="1">
      <c r="A109" s="360"/>
      <c r="B109" s="374"/>
      <c r="C109" s="421"/>
      <c r="D109" s="329"/>
      <c r="E109" s="447"/>
      <c r="F109" s="1010"/>
      <c r="G109" s="1256" t="s">
        <v>155</v>
      </c>
      <c r="H109" s="1245">
        <v>300000</v>
      </c>
      <c r="I109" s="1246"/>
      <c r="J109" s="1250"/>
      <c r="K109" s="1266"/>
      <c r="L109" s="1246" t="s">
        <v>29</v>
      </c>
      <c r="M109" s="1266"/>
      <c r="N109" s="1248">
        <v>1</v>
      </c>
      <c r="O109" s="1248" t="s">
        <v>36</v>
      </c>
      <c r="P109" s="1252">
        <f>H109*N109</f>
        <v>300000</v>
      </c>
    </row>
    <row r="110" spans="1:16" ht="15" customHeight="1">
      <c r="A110" s="360"/>
      <c r="B110" s="374"/>
      <c r="C110" s="349"/>
      <c r="D110" s="330"/>
      <c r="E110" s="356"/>
      <c r="F110" s="1057"/>
      <c r="G110" s="1256" t="s">
        <v>258</v>
      </c>
      <c r="H110" s="1245">
        <v>30000</v>
      </c>
      <c r="I110" s="1246"/>
      <c r="J110" s="1250"/>
      <c r="K110" s="1266"/>
      <c r="L110" s="1246" t="s">
        <v>29</v>
      </c>
      <c r="M110" s="1266"/>
      <c r="N110" s="1248">
        <v>1</v>
      </c>
      <c r="O110" s="1248" t="s">
        <v>36</v>
      </c>
      <c r="P110" s="1252">
        <f>H110*N110</f>
        <v>30000</v>
      </c>
    </row>
    <row r="111" spans="1:16" ht="15" customHeight="1">
      <c r="A111" s="360"/>
      <c r="B111" s="374"/>
      <c r="C111" s="349"/>
      <c r="D111" s="330"/>
      <c r="E111" s="356"/>
      <c r="F111" s="1057"/>
      <c r="G111" s="378" t="s">
        <v>260</v>
      </c>
      <c r="H111" s="1245">
        <v>200000</v>
      </c>
      <c r="I111" s="1246"/>
      <c r="J111" s="1247" t="s">
        <v>37</v>
      </c>
      <c r="K111" s="1246"/>
      <c r="L111" s="1246" t="s">
        <v>29</v>
      </c>
      <c r="M111" s="1266"/>
      <c r="N111" s="1251">
        <v>1</v>
      </c>
      <c r="O111" s="1248" t="s">
        <v>36</v>
      </c>
      <c r="P111" s="1252">
        <f>H111*N111</f>
        <v>200000</v>
      </c>
    </row>
    <row r="112" spans="1:16" ht="15" customHeight="1">
      <c r="A112" s="360"/>
      <c r="B112" s="364"/>
      <c r="C112" s="349"/>
      <c r="D112" s="356"/>
      <c r="E112" s="356"/>
      <c r="F112" s="1057"/>
      <c r="G112" s="1244" t="s">
        <v>252</v>
      </c>
      <c r="H112" s="1245"/>
      <c r="I112" s="1246"/>
      <c r="J112" s="331"/>
      <c r="K112" s="1246"/>
      <c r="L112" s="448"/>
      <c r="M112" s="1266"/>
      <c r="N112" s="1251"/>
      <c r="O112" s="1248"/>
      <c r="P112" s="1252">
        <f>SUM(P113:P120)</f>
        <v>7520000</v>
      </c>
    </row>
    <row r="113" spans="1:16" ht="15" customHeight="1">
      <c r="A113" s="441"/>
      <c r="B113" s="338"/>
      <c r="C113" s="349"/>
      <c r="D113" s="356"/>
      <c r="E113" s="356"/>
      <c r="F113" s="1057"/>
      <c r="G113" s="1244" t="s">
        <v>178</v>
      </c>
      <c r="H113" s="1245">
        <v>750000</v>
      </c>
      <c r="I113" s="1246" t="s">
        <v>29</v>
      </c>
      <c r="J113" s="1250">
        <v>1</v>
      </c>
      <c r="K113" s="1246"/>
      <c r="L113" s="1246" t="s">
        <v>29</v>
      </c>
      <c r="M113" s="1266"/>
      <c r="N113" s="1251">
        <v>1</v>
      </c>
      <c r="O113" s="1248" t="s">
        <v>36</v>
      </c>
      <c r="P113" s="1249">
        <f t="shared" ref="P113:P120" si="3">SUM(H113*J113*N113)</f>
        <v>750000</v>
      </c>
    </row>
    <row r="114" spans="1:16" ht="15" customHeight="1">
      <c r="A114" s="441"/>
      <c r="B114" s="338"/>
      <c r="C114" s="349"/>
      <c r="D114" s="224"/>
      <c r="E114" s="356"/>
      <c r="F114" s="1057"/>
      <c r="G114" s="1244" t="s">
        <v>63</v>
      </c>
      <c r="H114" s="1245">
        <v>500000</v>
      </c>
      <c r="I114" s="1246" t="s">
        <v>29</v>
      </c>
      <c r="J114" s="1250">
        <v>1</v>
      </c>
      <c r="K114" s="1246"/>
      <c r="L114" s="1246" t="s">
        <v>29</v>
      </c>
      <c r="M114" s="1266"/>
      <c r="N114" s="1251">
        <v>1</v>
      </c>
      <c r="O114" s="1248" t="s">
        <v>36</v>
      </c>
      <c r="P114" s="1249">
        <f t="shared" si="3"/>
        <v>500000</v>
      </c>
    </row>
    <row r="115" spans="1:16" ht="15" customHeight="1">
      <c r="A115" s="441"/>
      <c r="B115" s="338"/>
      <c r="C115" s="349"/>
      <c r="D115" s="356"/>
      <c r="E115" s="356"/>
      <c r="F115" s="1057"/>
      <c r="G115" s="1244" t="s">
        <v>48</v>
      </c>
      <c r="H115" s="1245">
        <v>800000</v>
      </c>
      <c r="I115" s="1246" t="s">
        <v>29</v>
      </c>
      <c r="J115" s="1250">
        <v>1</v>
      </c>
      <c r="K115" s="1246"/>
      <c r="L115" s="1246" t="s">
        <v>29</v>
      </c>
      <c r="M115" s="1266"/>
      <c r="N115" s="1251">
        <v>1</v>
      </c>
      <c r="O115" s="1248" t="s">
        <v>36</v>
      </c>
      <c r="P115" s="1249">
        <f t="shared" si="3"/>
        <v>800000</v>
      </c>
    </row>
    <row r="116" spans="1:16" ht="15" customHeight="1">
      <c r="A116" s="441"/>
      <c r="B116" s="338"/>
      <c r="C116" s="349"/>
      <c r="D116" s="356"/>
      <c r="E116" s="356"/>
      <c r="F116" s="1057"/>
      <c r="G116" s="1244" t="s">
        <v>84</v>
      </c>
      <c r="H116" s="1245">
        <v>670000</v>
      </c>
      <c r="I116" s="1246" t="s">
        <v>29</v>
      </c>
      <c r="J116" s="1250">
        <v>1</v>
      </c>
      <c r="K116" s="1246"/>
      <c r="L116" s="1246" t="s">
        <v>29</v>
      </c>
      <c r="M116" s="1266"/>
      <c r="N116" s="1251">
        <v>1</v>
      </c>
      <c r="O116" s="1248" t="s">
        <v>36</v>
      </c>
      <c r="P116" s="1249">
        <f t="shared" si="3"/>
        <v>670000</v>
      </c>
    </row>
    <row r="117" spans="1:16" ht="15" customHeight="1">
      <c r="A117" s="441"/>
      <c r="B117" s="338"/>
      <c r="C117" s="349"/>
      <c r="D117" s="356"/>
      <c r="E117" s="356"/>
      <c r="F117" s="1057"/>
      <c r="G117" s="1244" t="s">
        <v>57</v>
      </c>
      <c r="H117" s="1245">
        <v>900000</v>
      </c>
      <c r="I117" s="1246" t="s">
        <v>29</v>
      </c>
      <c r="J117" s="1250">
        <v>1</v>
      </c>
      <c r="K117" s="1246"/>
      <c r="L117" s="1246" t="s">
        <v>29</v>
      </c>
      <c r="M117" s="1266"/>
      <c r="N117" s="1251">
        <v>1</v>
      </c>
      <c r="O117" s="1248" t="s">
        <v>36</v>
      </c>
      <c r="P117" s="1249">
        <f t="shared" si="3"/>
        <v>900000</v>
      </c>
    </row>
    <row r="118" spans="1:16" ht="15" customHeight="1">
      <c r="A118" s="441"/>
      <c r="B118" s="338"/>
      <c r="C118" s="349"/>
      <c r="D118" s="356"/>
      <c r="E118" s="356"/>
      <c r="F118" s="1057"/>
      <c r="G118" s="1244" t="s">
        <v>103</v>
      </c>
      <c r="H118" s="1245">
        <v>1400000</v>
      </c>
      <c r="I118" s="1246" t="s">
        <v>29</v>
      </c>
      <c r="J118" s="1250">
        <v>1</v>
      </c>
      <c r="K118" s="1246"/>
      <c r="L118" s="1246" t="s">
        <v>29</v>
      </c>
      <c r="M118" s="1266"/>
      <c r="N118" s="1251">
        <v>1</v>
      </c>
      <c r="O118" s="1248" t="s">
        <v>36</v>
      </c>
      <c r="P118" s="1249">
        <f t="shared" si="3"/>
        <v>1400000</v>
      </c>
    </row>
    <row r="119" spans="1:16" ht="15" customHeight="1">
      <c r="A119" s="441"/>
      <c r="B119" s="338"/>
      <c r="C119" s="349"/>
      <c r="D119" s="224"/>
      <c r="E119" s="356"/>
      <c r="F119" s="1057"/>
      <c r="G119" s="1244" t="s">
        <v>49</v>
      </c>
      <c r="H119" s="1245">
        <v>700000</v>
      </c>
      <c r="I119" s="1246" t="s">
        <v>29</v>
      </c>
      <c r="J119" s="1250">
        <v>1</v>
      </c>
      <c r="K119" s="1246"/>
      <c r="L119" s="1246" t="s">
        <v>29</v>
      </c>
      <c r="M119" s="1266"/>
      <c r="N119" s="1251">
        <v>1</v>
      </c>
      <c r="O119" s="1248" t="s">
        <v>36</v>
      </c>
      <c r="P119" s="1249">
        <f t="shared" si="3"/>
        <v>700000</v>
      </c>
    </row>
    <row r="120" spans="1:16" ht="15" customHeight="1">
      <c r="A120" s="441"/>
      <c r="B120" s="338"/>
      <c r="C120" s="349"/>
      <c r="D120" s="224"/>
      <c r="E120" s="356"/>
      <c r="F120" s="1057"/>
      <c r="G120" s="1244" t="s">
        <v>72</v>
      </c>
      <c r="H120" s="1245">
        <v>1800000</v>
      </c>
      <c r="I120" s="1246" t="s">
        <v>29</v>
      </c>
      <c r="J120" s="1250">
        <v>1</v>
      </c>
      <c r="K120" s="1246"/>
      <c r="L120" s="1246" t="s">
        <v>29</v>
      </c>
      <c r="M120" s="1266"/>
      <c r="N120" s="1251">
        <v>1</v>
      </c>
      <c r="O120" s="1248" t="s">
        <v>36</v>
      </c>
      <c r="P120" s="1249">
        <f t="shared" si="3"/>
        <v>1800000</v>
      </c>
    </row>
    <row r="121" spans="1:16" ht="15" customHeight="1">
      <c r="A121" s="441"/>
      <c r="B121" s="338"/>
      <c r="C121" s="349"/>
      <c r="D121" s="224"/>
      <c r="E121" s="356"/>
      <c r="F121" s="1057"/>
      <c r="G121" s="1253" t="s">
        <v>261</v>
      </c>
      <c r="H121" s="1245"/>
      <c r="I121" s="1246"/>
      <c r="J121" s="1250"/>
      <c r="K121" s="1246"/>
      <c r="L121" s="1246"/>
      <c r="M121" s="1266"/>
      <c r="N121" s="1251"/>
      <c r="O121" s="1248"/>
      <c r="P121" s="1252">
        <f>SUM(P122:P126)</f>
        <v>660000</v>
      </c>
    </row>
    <row r="122" spans="1:16" ht="15" customHeight="1">
      <c r="A122" s="441"/>
      <c r="B122" s="417"/>
      <c r="C122" s="349"/>
      <c r="D122" s="224"/>
      <c r="E122" s="356"/>
      <c r="F122" s="1057"/>
      <c r="G122" s="1253" t="s">
        <v>178</v>
      </c>
      <c r="H122" s="1245">
        <v>60000</v>
      </c>
      <c r="I122" s="1246" t="s">
        <v>29</v>
      </c>
      <c r="J122" s="1250">
        <v>1</v>
      </c>
      <c r="K122" s="1246"/>
      <c r="L122" s="1246" t="s">
        <v>29</v>
      </c>
      <c r="M122" s="1266"/>
      <c r="N122" s="1251">
        <v>1</v>
      </c>
      <c r="O122" s="1248" t="s">
        <v>36</v>
      </c>
      <c r="P122" s="1249">
        <f>H122*J122*N122</f>
        <v>60000</v>
      </c>
    </row>
    <row r="123" spans="1:16" ht="15" customHeight="1">
      <c r="A123" s="360"/>
      <c r="B123" s="374"/>
      <c r="C123" s="349"/>
      <c r="D123" s="449"/>
      <c r="E123" s="356"/>
      <c r="F123" s="1057"/>
      <c r="G123" s="1253" t="s">
        <v>61</v>
      </c>
      <c r="H123" s="1245">
        <v>80000</v>
      </c>
      <c r="I123" s="1246" t="s">
        <v>29</v>
      </c>
      <c r="J123" s="1250">
        <v>1</v>
      </c>
      <c r="K123" s="1246"/>
      <c r="L123" s="1246" t="s">
        <v>29</v>
      </c>
      <c r="M123" s="1266"/>
      <c r="N123" s="1251">
        <v>1</v>
      </c>
      <c r="O123" s="1248" t="s">
        <v>36</v>
      </c>
      <c r="P123" s="1249">
        <f>H123*J123*N123</f>
        <v>80000</v>
      </c>
    </row>
    <row r="124" spans="1:16" ht="15" customHeight="1">
      <c r="A124" s="360"/>
      <c r="B124" s="374"/>
      <c r="C124" s="349"/>
      <c r="D124" s="224"/>
      <c r="E124" s="356"/>
      <c r="F124" s="1057"/>
      <c r="G124" s="1253" t="s">
        <v>160</v>
      </c>
      <c r="H124" s="1245">
        <v>65000</v>
      </c>
      <c r="I124" s="1246" t="s">
        <v>29</v>
      </c>
      <c r="J124" s="1250">
        <v>2</v>
      </c>
      <c r="K124" s="1246"/>
      <c r="L124" s="1246" t="s">
        <v>29</v>
      </c>
      <c r="M124" s="1266"/>
      <c r="N124" s="1251">
        <v>1</v>
      </c>
      <c r="O124" s="1248" t="s">
        <v>36</v>
      </c>
      <c r="P124" s="1249">
        <f>H124*J124*N124</f>
        <v>130000</v>
      </c>
    </row>
    <row r="125" spans="1:16" ht="15" customHeight="1">
      <c r="A125" s="360"/>
      <c r="B125" s="437"/>
      <c r="C125" s="438"/>
      <c r="D125" s="224"/>
      <c r="E125" s="356"/>
      <c r="F125" s="1057"/>
      <c r="G125" s="1244" t="s">
        <v>84</v>
      </c>
      <c r="H125" s="1245">
        <v>300000</v>
      </c>
      <c r="I125" s="1246" t="s">
        <v>29</v>
      </c>
      <c r="J125" s="1250">
        <v>1</v>
      </c>
      <c r="K125" s="1246"/>
      <c r="L125" s="1246" t="s">
        <v>29</v>
      </c>
      <c r="M125" s="1266"/>
      <c r="N125" s="1251">
        <v>1</v>
      </c>
      <c r="O125" s="1248" t="s">
        <v>36</v>
      </c>
      <c r="P125" s="1249">
        <f>H125*J125*N125</f>
        <v>300000</v>
      </c>
    </row>
    <row r="126" spans="1:16" ht="15" customHeight="1">
      <c r="A126" s="360"/>
      <c r="B126" s="437"/>
      <c r="C126" s="438"/>
      <c r="D126" s="450"/>
      <c r="E126" s="356"/>
      <c r="F126" s="1057"/>
      <c r="G126" s="1244" t="s">
        <v>11</v>
      </c>
      <c r="H126" s="1245">
        <v>30000</v>
      </c>
      <c r="I126" s="1246" t="s">
        <v>29</v>
      </c>
      <c r="J126" s="1250">
        <v>3</v>
      </c>
      <c r="K126" s="1246"/>
      <c r="L126" s="1246" t="s">
        <v>29</v>
      </c>
      <c r="M126" s="1266"/>
      <c r="N126" s="1251">
        <v>1</v>
      </c>
      <c r="O126" s="1248" t="s">
        <v>36</v>
      </c>
      <c r="P126" s="1249">
        <f>H126*J126*N126</f>
        <v>90000</v>
      </c>
    </row>
    <row r="127" spans="1:16" ht="15" customHeight="1">
      <c r="A127" s="360"/>
      <c r="B127" s="437"/>
      <c r="C127" s="438"/>
      <c r="D127" s="330"/>
      <c r="E127" s="356"/>
      <c r="F127" s="1057"/>
      <c r="G127" s="1244" t="s">
        <v>45</v>
      </c>
      <c r="H127" s="1245">
        <v>100000</v>
      </c>
      <c r="I127" s="1246" t="s">
        <v>29</v>
      </c>
      <c r="J127" s="1250">
        <v>1</v>
      </c>
      <c r="K127" s="1246"/>
      <c r="L127" s="1246" t="s">
        <v>29</v>
      </c>
      <c r="M127" s="1266"/>
      <c r="N127" s="1251">
        <v>1</v>
      </c>
      <c r="O127" s="1248" t="s">
        <v>36</v>
      </c>
      <c r="P127" s="1252">
        <f>H127*J127</f>
        <v>100000</v>
      </c>
    </row>
    <row r="128" spans="1:16" ht="15" customHeight="1">
      <c r="A128" s="360"/>
      <c r="B128" s="374"/>
      <c r="C128" s="349"/>
      <c r="D128" s="330"/>
      <c r="E128" s="356"/>
      <c r="F128" s="1057"/>
      <c r="G128" s="1253" t="s">
        <v>255</v>
      </c>
      <c r="H128" s="1245"/>
      <c r="I128" s="1246"/>
      <c r="J128" s="1250"/>
      <c r="K128" s="1254"/>
      <c r="L128" s="1246"/>
      <c r="M128" s="1266"/>
      <c r="N128" s="1248"/>
      <c r="O128" s="1248"/>
      <c r="P128" s="1252"/>
    </row>
    <row r="129" spans="1:16" ht="15" customHeight="1">
      <c r="A129" s="360"/>
      <c r="B129" s="374"/>
      <c r="C129" s="349"/>
      <c r="D129" s="330"/>
      <c r="E129" s="356"/>
      <c r="F129" s="1057"/>
      <c r="G129" s="1255" t="s">
        <v>170</v>
      </c>
      <c r="H129" s="1245">
        <v>140000</v>
      </c>
      <c r="I129" s="1246"/>
      <c r="J129" s="1250"/>
      <c r="K129" s="1266"/>
      <c r="L129" s="1246" t="s">
        <v>29</v>
      </c>
      <c r="M129" s="1266"/>
      <c r="N129" s="1248">
        <v>12</v>
      </c>
      <c r="O129" s="1248" t="s">
        <v>36</v>
      </c>
      <c r="P129" s="1252">
        <f>H129*N129</f>
        <v>1680000</v>
      </c>
    </row>
    <row r="130" spans="1:16" ht="15" customHeight="1">
      <c r="A130" s="360"/>
      <c r="B130" s="374"/>
      <c r="C130" s="349"/>
      <c r="D130" s="330"/>
      <c r="E130" s="356"/>
      <c r="F130" s="1057"/>
      <c r="G130" s="1255" t="s">
        <v>164</v>
      </c>
      <c r="H130" s="1245">
        <v>30000</v>
      </c>
      <c r="I130" s="1246"/>
      <c r="J130" s="1250"/>
      <c r="K130" s="1266"/>
      <c r="L130" s="1246" t="s">
        <v>29</v>
      </c>
      <c r="M130" s="1266"/>
      <c r="N130" s="1248">
        <v>12</v>
      </c>
      <c r="O130" s="1248" t="s">
        <v>36</v>
      </c>
      <c r="P130" s="1252">
        <f>H130*N130</f>
        <v>360000</v>
      </c>
    </row>
    <row r="131" spans="1:16" ht="15" customHeight="1">
      <c r="A131" s="360"/>
      <c r="B131" s="374"/>
      <c r="C131" s="349"/>
      <c r="D131" s="330"/>
      <c r="E131" s="356"/>
      <c r="F131" s="1057"/>
      <c r="G131" s="1256" t="s">
        <v>179</v>
      </c>
      <c r="H131" s="1245">
        <v>30000</v>
      </c>
      <c r="I131" s="1246"/>
      <c r="J131" s="1250"/>
      <c r="K131" s="1266"/>
      <c r="L131" s="1246" t="s">
        <v>29</v>
      </c>
      <c r="M131" s="1266"/>
      <c r="N131" s="1248">
        <v>12</v>
      </c>
      <c r="O131" s="1248" t="s">
        <v>36</v>
      </c>
      <c r="P131" s="1252">
        <f>H131*N131</f>
        <v>360000</v>
      </c>
    </row>
    <row r="132" spans="1:16" ht="15" customHeight="1">
      <c r="A132" s="360"/>
      <c r="B132" s="374"/>
      <c r="C132" s="304" t="s">
        <v>217</v>
      </c>
      <c r="D132" s="365">
        <v>12400000</v>
      </c>
      <c r="E132" s="142">
        <f>SUM(P133,P136,P137)</f>
        <v>12400000</v>
      </c>
      <c r="F132" s="1009">
        <f>E132-D132</f>
        <v>0</v>
      </c>
      <c r="G132" s="341"/>
      <c r="H132" s="307"/>
      <c r="I132" s="1271"/>
      <c r="J132" s="342"/>
      <c r="K132" s="1271"/>
      <c r="L132" s="307"/>
      <c r="M132" s="1271"/>
      <c r="N132" s="559"/>
      <c r="O132" s="559"/>
      <c r="P132" s="396"/>
    </row>
    <row r="133" spans="1:16" ht="15" customHeight="1">
      <c r="A133" s="360"/>
      <c r="B133" s="374"/>
      <c r="C133" s="349"/>
      <c r="D133" s="330"/>
      <c r="E133" s="356"/>
      <c r="F133" s="1057"/>
      <c r="G133" s="1256" t="s">
        <v>237</v>
      </c>
      <c r="H133" s="1245"/>
      <c r="I133" s="1266"/>
      <c r="J133" s="1250"/>
      <c r="K133" s="1266"/>
      <c r="L133" s="413"/>
      <c r="M133" s="1266"/>
      <c r="N133" s="1248"/>
      <c r="O133" s="1248"/>
      <c r="P133" s="1252">
        <f>SUM(P134:P135)</f>
        <v>7280000</v>
      </c>
    </row>
    <row r="134" spans="1:16" ht="15" customHeight="1">
      <c r="A134" s="360"/>
      <c r="B134" s="374"/>
      <c r="C134" s="349"/>
      <c r="D134" s="330"/>
      <c r="E134" s="356"/>
      <c r="F134" s="1057"/>
      <c r="G134" s="1256" t="s">
        <v>66</v>
      </c>
      <c r="H134" s="1245">
        <v>1350</v>
      </c>
      <c r="I134" s="1246"/>
      <c r="J134" s="379"/>
      <c r="K134" s="1246"/>
      <c r="L134" s="1246" t="s">
        <v>29</v>
      </c>
      <c r="M134" s="1246"/>
      <c r="N134" s="451">
        <v>2600</v>
      </c>
      <c r="O134" s="1248" t="s">
        <v>36</v>
      </c>
      <c r="P134" s="1249">
        <f>H134*N134</f>
        <v>3510000</v>
      </c>
    </row>
    <row r="135" spans="1:16" ht="15" customHeight="1">
      <c r="A135" s="360"/>
      <c r="B135" s="374"/>
      <c r="C135" s="349"/>
      <c r="D135" s="330"/>
      <c r="E135" s="356"/>
      <c r="F135" s="1057"/>
      <c r="G135" s="1256" t="s">
        <v>354</v>
      </c>
      <c r="H135" s="1245">
        <v>1450</v>
      </c>
      <c r="I135" s="1246"/>
      <c r="J135" s="379"/>
      <c r="K135" s="1246"/>
      <c r="L135" s="1246" t="s">
        <v>29</v>
      </c>
      <c r="M135" s="1246"/>
      <c r="N135" s="451">
        <v>2600</v>
      </c>
      <c r="O135" s="1248" t="s">
        <v>36</v>
      </c>
      <c r="P135" s="1249">
        <f>H135*N135</f>
        <v>3770000</v>
      </c>
    </row>
    <row r="136" spans="1:16" ht="15" customHeight="1">
      <c r="A136" s="360"/>
      <c r="B136" s="374"/>
      <c r="C136" s="349"/>
      <c r="D136" s="330"/>
      <c r="E136" s="356"/>
      <c r="F136" s="1057"/>
      <c r="G136" s="1256" t="s">
        <v>210</v>
      </c>
      <c r="H136" s="1245">
        <v>150000</v>
      </c>
      <c r="I136" s="1246" t="s">
        <v>29</v>
      </c>
      <c r="J136" s="452">
        <v>8</v>
      </c>
      <c r="K136" s="1246"/>
      <c r="L136" s="1246" t="s">
        <v>29</v>
      </c>
      <c r="M136" s="1246"/>
      <c r="N136" s="1248">
        <v>4</v>
      </c>
      <c r="O136" s="1248" t="s">
        <v>36</v>
      </c>
      <c r="P136" s="344">
        <f>H136*J136*N136</f>
        <v>4800000</v>
      </c>
    </row>
    <row r="137" spans="1:16" ht="15" customHeight="1">
      <c r="A137" s="360"/>
      <c r="B137" s="374"/>
      <c r="C137" s="349"/>
      <c r="D137" s="330"/>
      <c r="E137" s="356"/>
      <c r="F137" s="1057"/>
      <c r="G137" s="384" t="s">
        <v>224</v>
      </c>
      <c r="H137" s="385">
        <v>10000</v>
      </c>
      <c r="I137" s="595" t="s">
        <v>29</v>
      </c>
      <c r="J137" s="453">
        <v>8</v>
      </c>
      <c r="K137" s="595"/>
      <c r="L137" s="595" t="s">
        <v>29</v>
      </c>
      <c r="M137" s="595"/>
      <c r="N137" s="388">
        <v>4</v>
      </c>
      <c r="O137" s="388" t="s">
        <v>36</v>
      </c>
      <c r="P137" s="391">
        <f>H137*J137*N137</f>
        <v>320000</v>
      </c>
    </row>
    <row r="138" spans="1:16" ht="15" customHeight="1">
      <c r="A138" s="360"/>
      <c r="B138" s="374"/>
      <c r="C138" s="351" t="s">
        <v>115</v>
      </c>
      <c r="D138" s="365">
        <v>10040000</v>
      </c>
      <c r="E138" s="142">
        <f>SUM(P139:P144)</f>
        <v>12090000</v>
      </c>
      <c r="F138" s="1009">
        <f>E138-D138</f>
        <v>2050000</v>
      </c>
      <c r="G138" s="341"/>
      <c r="H138" s="307"/>
      <c r="I138" s="1271"/>
      <c r="J138" s="342"/>
      <c r="K138" s="1271"/>
      <c r="L138" s="307"/>
      <c r="M138" s="544"/>
      <c r="N138" s="559"/>
      <c r="O138" s="559"/>
      <c r="P138" s="396"/>
    </row>
    <row r="139" spans="1:16" ht="15" customHeight="1">
      <c r="A139" s="360"/>
      <c r="B139" s="374"/>
      <c r="C139" s="349"/>
      <c r="D139" s="329"/>
      <c r="E139" s="239"/>
      <c r="F139" s="1011"/>
      <c r="G139" s="1256" t="s">
        <v>166</v>
      </c>
      <c r="H139" s="1245">
        <v>100000</v>
      </c>
      <c r="I139" s="1246" t="s">
        <v>29</v>
      </c>
      <c r="J139" s="1247">
        <v>13</v>
      </c>
      <c r="K139" s="1266"/>
      <c r="L139" s="413"/>
      <c r="M139" s="1246" t="s">
        <v>29</v>
      </c>
      <c r="N139" s="1251">
        <v>1</v>
      </c>
      <c r="O139" s="1248" t="s">
        <v>36</v>
      </c>
      <c r="P139" s="1252">
        <f>H139*J139*N139</f>
        <v>1300000</v>
      </c>
    </row>
    <row r="140" spans="1:16" ht="15" customHeight="1">
      <c r="A140" s="360"/>
      <c r="B140" s="374"/>
      <c r="C140" s="349"/>
      <c r="D140" s="1050"/>
      <c r="E140" s="454"/>
      <c r="F140" s="1061"/>
      <c r="G140" s="1256" t="s">
        <v>214</v>
      </c>
      <c r="H140" s="1245">
        <v>8000</v>
      </c>
      <c r="I140" s="1246" t="s">
        <v>29</v>
      </c>
      <c r="J140" s="1247">
        <v>13</v>
      </c>
      <c r="K140" s="465" t="s">
        <v>29</v>
      </c>
      <c r="L140" s="466">
        <v>5</v>
      </c>
      <c r="M140" s="1246" t="s">
        <v>29</v>
      </c>
      <c r="N140" s="1248">
        <v>11.6</v>
      </c>
      <c r="O140" s="1248" t="s">
        <v>36</v>
      </c>
      <c r="P140" s="1252">
        <f>H140*J140*L140*N140+8000</f>
        <v>6040000</v>
      </c>
    </row>
    <row r="141" spans="1:16" ht="15" customHeight="1">
      <c r="A141" s="360"/>
      <c r="B141" s="374"/>
      <c r="C141" s="349"/>
      <c r="D141" s="580"/>
      <c r="E141" s="224"/>
      <c r="F141" s="1056"/>
      <c r="G141" s="1256" t="s">
        <v>294</v>
      </c>
      <c r="H141" s="1245">
        <v>192000</v>
      </c>
      <c r="I141" s="1246" t="s">
        <v>29</v>
      </c>
      <c r="J141" s="414">
        <v>13</v>
      </c>
      <c r="K141" s="455"/>
      <c r="L141" s="465"/>
      <c r="M141" s="1246" t="s">
        <v>29</v>
      </c>
      <c r="N141" s="1251">
        <v>1</v>
      </c>
      <c r="O141" s="1248" t="s">
        <v>36</v>
      </c>
      <c r="P141" s="1276">
        <f>H141*J141*N141+4000</f>
        <v>2500000</v>
      </c>
    </row>
    <row r="142" spans="1:16" ht="15" customHeight="1">
      <c r="A142" s="360"/>
      <c r="B142" s="364"/>
      <c r="C142" s="354"/>
      <c r="D142" s="580"/>
      <c r="E142" s="224"/>
      <c r="F142" s="1056"/>
      <c r="G142" s="1292" t="s">
        <v>301</v>
      </c>
      <c r="H142" s="1283">
        <v>50000</v>
      </c>
      <c r="I142" s="1279" t="s">
        <v>29</v>
      </c>
      <c r="J142" s="1286">
        <v>7</v>
      </c>
      <c r="K142" s="1351"/>
      <c r="L142" s="413"/>
      <c r="M142" s="1279" t="s">
        <v>29</v>
      </c>
      <c r="N142" s="1289">
        <v>4</v>
      </c>
      <c r="O142" s="1289" t="s">
        <v>36</v>
      </c>
      <c r="P142" s="1276">
        <f>H142*J142*N142</f>
        <v>1400000</v>
      </c>
    </row>
    <row r="143" spans="1:16" ht="15" customHeight="1">
      <c r="A143" s="360"/>
      <c r="B143" s="364"/>
      <c r="C143" s="354"/>
      <c r="D143" s="580"/>
      <c r="E143" s="224"/>
      <c r="F143" s="1056"/>
      <c r="G143" s="1292" t="s">
        <v>302</v>
      </c>
      <c r="H143" s="1283">
        <v>50000</v>
      </c>
      <c r="I143" s="1279" t="s">
        <v>29</v>
      </c>
      <c r="J143" s="1286">
        <v>1</v>
      </c>
      <c r="K143" s="1351"/>
      <c r="L143" s="413"/>
      <c r="M143" s="1279" t="s">
        <v>29</v>
      </c>
      <c r="N143" s="1289">
        <v>4</v>
      </c>
      <c r="O143" s="1289" t="s">
        <v>36</v>
      </c>
      <c r="P143" s="1276">
        <f t="shared" ref="P143" si="4">H143*J143*N143</f>
        <v>200000</v>
      </c>
    </row>
    <row r="144" spans="1:16" ht="15" customHeight="1">
      <c r="A144" s="360"/>
      <c r="B144" s="400"/>
      <c r="C144" s="354"/>
      <c r="D144" s="580"/>
      <c r="E144" s="224"/>
      <c r="F144" s="1056"/>
      <c r="G144" s="1292" t="s">
        <v>304</v>
      </c>
      <c r="H144" s="1283">
        <v>50000</v>
      </c>
      <c r="I144" s="1279" t="s">
        <v>29</v>
      </c>
      <c r="J144" s="1286">
        <v>13</v>
      </c>
      <c r="K144" s="1351"/>
      <c r="L144" s="413"/>
      <c r="M144" s="1279" t="s">
        <v>29</v>
      </c>
      <c r="N144" s="1289">
        <v>1</v>
      </c>
      <c r="O144" s="1289" t="s">
        <v>36</v>
      </c>
      <c r="P144" s="1276">
        <f>H144*J144*N144</f>
        <v>650000</v>
      </c>
    </row>
    <row r="145" spans="1:17" s="1025" customFormat="1" ht="15" customHeight="1">
      <c r="A145" s="1018" t="s">
        <v>122</v>
      </c>
      <c r="B145" s="1591" t="s">
        <v>193</v>
      </c>
      <c r="C145" s="1592"/>
      <c r="D145" s="164">
        <f>D146</f>
        <v>0</v>
      </c>
      <c r="E145" s="164">
        <f>E146</f>
        <v>0</v>
      </c>
      <c r="F145" s="1052">
        <f>E145-D145</f>
        <v>0</v>
      </c>
      <c r="G145" s="1020"/>
      <c r="H145" s="1021"/>
      <c r="I145" s="1022"/>
      <c r="J145" s="1023"/>
      <c r="K145" s="1022"/>
      <c r="L145" s="1021"/>
      <c r="M145" s="1022"/>
      <c r="N145" s="1024"/>
      <c r="O145" s="1024"/>
      <c r="P145" s="560"/>
      <c r="Q145" s="1273"/>
    </row>
    <row r="146" spans="1:17" ht="15" customHeight="1">
      <c r="A146" s="392"/>
      <c r="B146" s="361" t="s">
        <v>182</v>
      </c>
      <c r="C146" s="393" t="s">
        <v>193</v>
      </c>
      <c r="D146" s="239">
        <f>SUM(D147:D149)</f>
        <v>0</v>
      </c>
      <c r="E146" s="239">
        <f>SUM(E147:E149)</f>
        <v>0</v>
      </c>
      <c r="F146" s="1011">
        <f>E146-D146</f>
        <v>0</v>
      </c>
      <c r="G146" s="394"/>
      <c r="H146" s="367"/>
      <c r="I146" s="1269"/>
      <c r="J146" s="367"/>
      <c r="K146" s="1271"/>
      <c r="L146" s="307"/>
      <c r="M146" s="1271"/>
      <c r="N146" s="395"/>
      <c r="O146" s="559"/>
      <c r="P146" s="396"/>
    </row>
    <row r="147" spans="1:17" ht="15" customHeight="1">
      <c r="A147" s="397"/>
      <c r="B147" s="364"/>
      <c r="C147" s="304" t="s">
        <v>140</v>
      </c>
      <c r="D147" s="1026">
        <v>0</v>
      </c>
      <c r="E147" s="142">
        <f>SUM(P148:P148)</f>
        <v>0</v>
      </c>
      <c r="F147" s="1009">
        <f>E147-D147</f>
        <v>0</v>
      </c>
      <c r="G147" s="341"/>
      <c r="H147" s="307"/>
      <c r="I147" s="544"/>
      <c r="J147" s="544"/>
      <c r="K147" s="1271"/>
      <c r="L147" s="307"/>
      <c r="M147" s="1271"/>
      <c r="N147" s="398"/>
      <c r="O147" s="559"/>
      <c r="P147" s="560"/>
    </row>
    <row r="148" spans="1:17" ht="15" hidden="1" customHeight="1">
      <c r="A148" s="397"/>
      <c r="B148" s="373"/>
      <c r="C148" s="401"/>
      <c r="D148" s="1026"/>
      <c r="E148" s="142"/>
      <c r="F148" s="1009"/>
      <c r="G148" s="228"/>
      <c r="H148" s="307"/>
      <c r="I148" s="544"/>
      <c r="J148" s="544"/>
      <c r="K148" s="1619"/>
      <c r="L148" s="1619"/>
      <c r="M148" s="544"/>
      <c r="N148" s="559"/>
      <c r="O148" s="559"/>
      <c r="P148" s="403"/>
    </row>
    <row r="149" spans="1:17" ht="15" customHeight="1">
      <c r="A149" s="397"/>
      <c r="B149" s="373"/>
      <c r="C149" s="304" t="s">
        <v>126</v>
      </c>
      <c r="D149" s="1026">
        <v>0</v>
      </c>
      <c r="E149" s="142">
        <f>SUM(P150:P150)</f>
        <v>0</v>
      </c>
      <c r="F149" s="1009">
        <f>E149-D149</f>
        <v>0</v>
      </c>
      <c r="G149" s="341"/>
      <c r="H149" s="307"/>
      <c r="I149" s="544"/>
      <c r="J149" s="456"/>
      <c r="K149" s="544"/>
      <c r="L149" s="457"/>
      <c r="M149" s="544"/>
      <c r="N149" s="559"/>
      <c r="O149" s="559"/>
      <c r="P149" s="403"/>
    </row>
    <row r="150" spans="1:17" ht="15" hidden="1" customHeight="1">
      <c r="A150" s="429"/>
      <c r="B150" s="374"/>
      <c r="C150" s="349"/>
      <c r="D150" s="424"/>
      <c r="E150" s="424"/>
      <c r="F150" s="1060"/>
      <c r="G150" s="228"/>
      <c r="H150" s="1245"/>
      <c r="I150" s="1246"/>
      <c r="J150" s="1250"/>
      <c r="K150" s="1266"/>
      <c r="L150" s="1246"/>
      <c r="M150" s="1266"/>
      <c r="N150" s="458"/>
      <c r="O150" s="1248"/>
      <c r="P150" s="1252"/>
    </row>
    <row r="151" spans="1:17" ht="15" customHeight="1">
      <c r="A151" s="921" t="s">
        <v>227</v>
      </c>
      <c r="B151" s="1591" t="s">
        <v>193</v>
      </c>
      <c r="C151" s="1592"/>
      <c r="D151" s="922">
        <f>SUM(D152)</f>
        <v>8840000</v>
      </c>
      <c r="E151" s="922">
        <f>SUM(E152)</f>
        <v>8105500</v>
      </c>
      <c r="F151" s="1062">
        <f>E151-D151</f>
        <v>-734500</v>
      </c>
      <c r="G151" s="341"/>
      <c r="H151" s="307"/>
      <c r="I151" s="544"/>
      <c r="J151" s="342"/>
      <c r="K151" s="1271"/>
      <c r="L151" s="307"/>
      <c r="M151" s="1271"/>
      <c r="N151" s="559"/>
      <c r="O151" s="559"/>
      <c r="P151" s="560"/>
    </row>
    <row r="152" spans="1:17" ht="15" customHeight="1">
      <c r="A152" s="404"/>
      <c r="B152" s="351" t="s">
        <v>221</v>
      </c>
      <c r="C152" s="362" t="s">
        <v>189</v>
      </c>
      <c r="D152" s="365">
        <f>SUM(D153:D155)</f>
        <v>8840000</v>
      </c>
      <c r="E152" s="365">
        <f>SUM(E153:E155)</f>
        <v>8105500</v>
      </c>
      <c r="F152" s="1058">
        <f>E152-D152</f>
        <v>-734500</v>
      </c>
      <c r="G152" s="1030"/>
      <c r="H152" s="1030"/>
      <c r="I152" s="1030"/>
      <c r="J152" s="1030"/>
      <c r="K152" s="1030"/>
      <c r="L152" s="1030"/>
      <c r="M152" s="1030"/>
      <c r="N152" s="1030"/>
      <c r="O152" s="1030"/>
      <c r="P152" s="1031"/>
    </row>
    <row r="153" spans="1:17" ht="15" customHeight="1">
      <c r="A153" s="360"/>
      <c r="B153" s="349"/>
      <c r="C153" s="328" t="s">
        <v>118</v>
      </c>
      <c r="D153" s="1051">
        <v>1200000</v>
      </c>
      <c r="E153" s="579">
        <f>SUM(P154)</f>
        <v>1200000</v>
      </c>
      <c r="F153" s="1053">
        <f>E153-D153</f>
        <v>0</v>
      </c>
      <c r="G153" s="1256"/>
      <c r="H153" s="1245"/>
      <c r="I153" s="581"/>
      <c r="J153" s="581"/>
      <c r="K153" s="581"/>
      <c r="L153" s="581"/>
      <c r="M153" s="459"/>
      <c r="N153" s="460"/>
      <c r="O153" s="1248"/>
      <c r="P153" s="1249"/>
    </row>
    <row r="154" spans="1:17" ht="15" customHeight="1">
      <c r="A154" s="360"/>
      <c r="B154" s="349"/>
      <c r="C154" s="304"/>
      <c r="D154" s="1026"/>
      <c r="E154" s="365"/>
      <c r="F154" s="1058"/>
      <c r="G154" s="312" t="s">
        <v>47</v>
      </c>
      <c r="H154" s="307">
        <v>10000</v>
      </c>
      <c r="I154" s="544" t="s">
        <v>29</v>
      </c>
      <c r="J154" s="558">
        <v>40</v>
      </c>
      <c r="K154" s="578"/>
      <c r="L154" s="1030"/>
      <c r="M154" s="461" t="s">
        <v>29</v>
      </c>
      <c r="N154" s="577">
        <v>3</v>
      </c>
      <c r="O154" s="576" t="s">
        <v>36</v>
      </c>
      <c r="P154" s="560">
        <f>H154*J154*N154</f>
        <v>1200000</v>
      </c>
    </row>
    <row r="155" spans="1:17" ht="15" customHeight="1">
      <c r="A155" s="360"/>
      <c r="B155" s="349"/>
      <c r="C155" s="435" t="s">
        <v>132</v>
      </c>
      <c r="D155" s="1026">
        <v>7640000</v>
      </c>
      <c r="E155" s="365">
        <f>SUM(P156:P159)</f>
        <v>6905500</v>
      </c>
      <c r="F155" s="1058">
        <f>E155-D155</f>
        <v>-734500</v>
      </c>
      <c r="G155" s="312"/>
      <c r="H155" s="307"/>
      <c r="I155" s="544"/>
      <c r="J155" s="558"/>
      <c r="K155" s="544"/>
      <c r="L155" s="462"/>
      <c r="M155" s="544"/>
      <c r="N155" s="398"/>
      <c r="O155" s="559"/>
      <c r="P155" s="396"/>
    </row>
    <row r="156" spans="1:17" ht="15" customHeight="1">
      <c r="A156" s="360"/>
      <c r="B156" s="584"/>
      <c r="C156" s="349"/>
      <c r="D156" s="330"/>
      <c r="E156" s="349"/>
      <c r="F156" s="1053"/>
      <c r="G156" s="1284" t="s">
        <v>9</v>
      </c>
      <c r="H156" s="1283">
        <v>8000</v>
      </c>
      <c r="I156" s="1279" t="s">
        <v>29</v>
      </c>
      <c r="J156" s="1286">
        <v>35</v>
      </c>
      <c r="K156" s="1281"/>
      <c r="L156" s="1280"/>
      <c r="M156" s="1279" t="s">
        <v>29</v>
      </c>
      <c r="N156" s="1285">
        <v>4</v>
      </c>
      <c r="O156" s="1277" t="s">
        <v>36</v>
      </c>
      <c r="P156" s="1276">
        <f>H156*J156*N156</f>
        <v>1120000</v>
      </c>
      <c r="Q156" s="119"/>
    </row>
    <row r="157" spans="1:17" ht="15" customHeight="1">
      <c r="A157" s="360"/>
      <c r="B157" s="584"/>
      <c r="C157" s="349"/>
      <c r="D157" s="330"/>
      <c r="E157" s="349"/>
      <c r="F157" s="1053"/>
      <c r="G157" s="1284" t="s">
        <v>284</v>
      </c>
      <c r="H157" s="1283">
        <v>8000</v>
      </c>
      <c r="I157" s="1279" t="s">
        <v>29</v>
      </c>
      <c r="J157" s="1286">
        <v>40</v>
      </c>
      <c r="K157" s="1281"/>
      <c r="L157" s="1280"/>
      <c r="M157" s="1279" t="s">
        <v>29</v>
      </c>
      <c r="N157" s="1285">
        <v>2</v>
      </c>
      <c r="O157" s="1277" t="s">
        <v>36</v>
      </c>
      <c r="P157" s="1276">
        <f>H157*J157*N157</f>
        <v>640000</v>
      </c>
      <c r="Q157" s="119"/>
    </row>
    <row r="158" spans="1:17" ht="15" customHeight="1">
      <c r="A158" s="360"/>
      <c r="B158" s="584"/>
      <c r="C158" s="349"/>
      <c r="D158" s="330"/>
      <c r="E158" s="349"/>
      <c r="F158" s="1053"/>
      <c r="G158" s="1284" t="s">
        <v>285</v>
      </c>
      <c r="H158" s="1283">
        <v>8000</v>
      </c>
      <c r="I158" s="1279" t="s">
        <v>29</v>
      </c>
      <c r="J158" s="1286">
        <v>30</v>
      </c>
      <c r="K158" s="1281"/>
      <c r="L158" s="1280"/>
      <c r="M158" s="1279" t="s">
        <v>29</v>
      </c>
      <c r="N158" s="1285">
        <v>12</v>
      </c>
      <c r="O158" s="1277" t="s">
        <v>36</v>
      </c>
      <c r="P158" s="1276">
        <f>H158*J158*N158</f>
        <v>2880000</v>
      </c>
      <c r="Q158" s="119"/>
    </row>
    <row r="159" spans="1:17" ht="15" customHeight="1">
      <c r="A159" s="360"/>
      <c r="B159" s="584"/>
      <c r="C159" s="349"/>
      <c r="D159" s="330"/>
      <c r="E159" s="349"/>
      <c r="F159" s="1053"/>
      <c r="G159" s="1284" t="s">
        <v>291</v>
      </c>
      <c r="H159" s="1283">
        <v>5000</v>
      </c>
      <c r="I159" s="1279"/>
      <c r="J159" s="1282"/>
      <c r="K159" s="1281"/>
      <c r="L159" s="1280"/>
      <c r="M159" s="1279" t="s">
        <v>29</v>
      </c>
      <c r="N159" s="1278">
        <v>450</v>
      </c>
      <c r="O159" s="1277" t="s">
        <v>36</v>
      </c>
      <c r="P159" s="1276">
        <f>H159*N159+15500</f>
        <v>2265500</v>
      </c>
      <c r="Q159" s="119"/>
    </row>
    <row r="160" spans="1:17" ht="15" customHeight="1">
      <c r="A160" s="1275" t="s">
        <v>117</v>
      </c>
      <c r="B160" s="1591" t="s">
        <v>193</v>
      </c>
      <c r="C160" s="1592"/>
      <c r="D160" s="1274">
        <f>SUM(D161)</f>
        <v>0</v>
      </c>
      <c r="E160" s="922">
        <f>SUM(E161)</f>
        <v>0</v>
      </c>
      <c r="F160" s="1062">
        <f>E160-D160</f>
        <v>0</v>
      </c>
      <c r="G160" s="221"/>
      <c r="H160" s="307"/>
      <c r="I160" s="544"/>
      <c r="J160" s="342"/>
      <c r="K160" s="1271"/>
      <c r="L160" s="307"/>
      <c r="M160" s="1271"/>
      <c r="N160" s="559"/>
      <c r="O160" s="559"/>
      <c r="P160" s="560"/>
      <c r="Q160" s="119"/>
    </row>
    <row r="161" spans="1:17" ht="15" customHeight="1">
      <c r="A161" s="404"/>
      <c r="B161" s="435" t="s">
        <v>129</v>
      </c>
      <c r="C161" s="362" t="s">
        <v>189</v>
      </c>
      <c r="D161" s="1026">
        <f>SUM(D162)</f>
        <v>0</v>
      </c>
      <c r="E161" s="365">
        <f>SUM(E162:E162)</f>
        <v>0</v>
      </c>
      <c r="F161" s="1058">
        <f>E161-D161</f>
        <v>0</v>
      </c>
      <c r="G161" s="1030"/>
      <c r="H161" s="1030"/>
      <c r="I161" s="1030"/>
      <c r="J161" s="1030"/>
      <c r="K161" s="1030"/>
      <c r="L161" s="1030"/>
      <c r="M161" s="1030"/>
      <c r="N161" s="1030"/>
      <c r="O161" s="1030"/>
      <c r="P161" s="1031"/>
      <c r="Q161" s="119"/>
    </row>
    <row r="162" spans="1:17" ht="15" customHeight="1">
      <c r="A162" s="360"/>
      <c r="B162" s="463"/>
      <c r="C162" s="464" t="s">
        <v>200</v>
      </c>
      <c r="D162" s="1051">
        <v>0</v>
      </c>
      <c r="E162" s="329">
        <f>SUM(P163:P163)</f>
        <v>0</v>
      </c>
      <c r="F162" s="1063">
        <f>E162-D162</f>
        <v>0</v>
      </c>
      <c r="G162" s="306"/>
      <c r="H162" s="385"/>
      <c r="I162" s="595"/>
      <c r="J162" s="595"/>
      <c r="K162" s="1623"/>
      <c r="L162" s="1623"/>
      <c r="M162" s="595"/>
      <c r="N162" s="388"/>
      <c r="O162" s="388"/>
      <c r="P162" s="391"/>
      <c r="Q162" s="119"/>
    </row>
    <row r="163" spans="1:17" ht="15" customHeight="1">
      <c r="A163" s="405"/>
      <c r="B163" s="523"/>
      <c r="C163" s="524"/>
      <c r="D163" s="1032"/>
      <c r="E163" s="525"/>
      <c r="F163" s="1064"/>
      <c r="G163" s="407"/>
      <c r="H163" s="550"/>
      <c r="I163" s="551"/>
      <c r="J163" s="551"/>
      <c r="K163" s="1622"/>
      <c r="L163" s="1622"/>
      <c r="M163" s="551"/>
      <c r="N163" s="555"/>
      <c r="O163" s="555"/>
      <c r="P163" s="556"/>
      <c r="Q163" s="119"/>
    </row>
  </sheetData>
  <mergeCells count="25">
    <mergeCell ref="L69:N69"/>
    <mergeCell ref="H70:I70"/>
    <mergeCell ref="L71:N71"/>
    <mergeCell ref="A1:P1"/>
    <mergeCell ref="A3:C3"/>
    <mergeCell ref="E3:E4"/>
    <mergeCell ref="F3:F4"/>
    <mergeCell ref="G3:P4"/>
    <mergeCell ref="D3:D4"/>
    <mergeCell ref="K163:L163"/>
    <mergeCell ref="K162:L162"/>
    <mergeCell ref="A5:C5"/>
    <mergeCell ref="H65:I65"/>
    <mergeCell ref="H67:I67"/>
    <mergeCell ref="L67:N67"/>
    <mergeCell ref="H68:I68"/>
    <mergeCell ref="L68:N68"/>
    <mergeCell ref="B151:C151"/>
    <mergeCell ref="H69:I69"/>
    <mergeCell ref="B160:C160"/>
    <mergeCell ref="L70:N70"/>
    <mergeCell ref="K148:L148"/>
    <mergeCell ref="H71:I71"/>
    <mergeCell ref="B145:C145"/>
    <mergeCell ref="J85:K85"/>
  </mergeCells>
  <phoneticPr fontId="5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4729-4BEB-4CE2-8A29-B83448F350A0}">
  <sheetPr>
    <pageSetUpPr fitToPage="1"/>
  </sheetPr>
  <dimension ref="A1:V52"/>
  <sheetViews>
    <sheetView view="pageBreakPreview" topLeftCell="D1" zoomScale="130" zoomScaleNormal="100" zoomScaleSheetLayoutView="130" workbookViewId="0">
      <pane ySplit="5" topLeftCell="A39" activePane="bottomLeft" state="frozen"/>
      <selection activeCell="P56" sqref="P56"/>
      <selection pane="bottomLeft" activeCell="P53" sqref="P53"/>
    </sheetView>
  </sheetViews>
  <sheetFormatPr defaultColWidth="8.75" defaultRowHeight="16.5"/>
  <cols>
    <col min="1" max="1" width="13.5" style="1116" customWidth="1"/>
    <col min="2" max="2" width="11.375" style="1116" customWidth="1"/>
    <col min="3" max="3" width="16.125" style="1116" customWidth="1"/>
    <col min="4" max="4" width="13.375" style="1116" customWidth="1"/>
    <col min="5" max="5" width="11.875" style="1117" bestFit="1" customWidth="1"/>
    <col min="6" max="6" width="12.375" style="1116" customWidth="1"/>
    <col min="7" max="7" width="37.75" style="1116" customWidth="1"/>
    <col min="8" max="8" width="11" style="1116" customWidth="1"/>
    <col min="9" max="9" width="1.5" style="1116" customWidth="1"/>
    <col min="10" max="10" width="2" style="1116" customWidth="1"/>
    <col min="11" max="11" width="0.875" style="1116" customWidth="1"/>
    <col min="12" max="12" width="6" style="1116" customWidth="1"/>
    <col min="13" max="13" width="1.75" style="1116" customWidth="1"/>
    <col min="14" max="14" width="5.75" style="1116" customWidth="1"/>
    <col min="15" max="15" width="2.125" style="1116" customWidth="1"/>
    <col min="16" max="16" width="15.75" style="1116" customWidth="1"/>
    <col min="17" max="17" width="12.75" style="1262" customWidth="1"/>
    <col min="18" max="18" width="10.875" style="159" customWidth="1"/>
    <col min="19" max="19" width="8.75" style="159"/>
    <col min="20" max="20" width="8.75" style="119"/>
    <col min="21" max="21" width="13.75" style="119" customWidth="1"/>
    <col min="22" max="22" width="12.875" style="119" customWidth="1"/>
    <col min="23" max="255" width="8.75" style="119"/>
    <col min="256" max="256" width="14.5" style="119" bestFit="1" customWidth="1"/>
    <col min="257" max="257" width="11.375" style="119" customWidth="1"/>
    <col min="258" max="259" width="16.125" style="119" customWidth="1"/>
    <col min="260" max="260" width="12.125" style="119" bestFit="1" customWidth="1"/>
    <col min="261" max="261" width="13.375" style="119" bestFit="1" customWidth="1"/>
    <col min="262" max="262" width="37.75" style="119" customWidth="1"/>
    <col min="263" max="263" width="11" style="119" customWidth="1"/>
    <col min="264" max="264" width="1.5" style="119" customWidth="1"/>
    <col min="265" max="265" width="2" style="119" customWidth="1"/>
    <col min="266" max="266" width="0.875" style="119" customWidth="1"/>
    <col min="267" max="267" width="6" style="119" customWidth="1"/>
    <col min="268" max="268" width="1.75" style="119" customWidth="1"/>
    <col min="269" max="269" width="5.75" style="119" customWidth="1"/>
    <col min="270" max="270" width="2.125" style="119" customWidth="1"/>
    <col min="271" max="271" width="15.75" style="119" customWidth="1"/>
    <col min="272" max="272" width="8.75" style="119"/>
    <col min="273" max="273" width="15.875" style="119" bestFit="1" customWidth="1"/>
    <col min="274" max="511" width="8.75" style="119"/>
    <col min="512" max="512" width="14.5" style="119" bestFit="1" customWidth="1"/>
    <col min="513" max="513" width="11.375" style="119" customWidth="1"/>
    <col min="514" max="515" width="16.125" style="119" customWidth="1"/>
    <col min="516" max="516" width="12.125" style="119" bestFit="1" customWidth="1"/>
    <col min="517" max="517" width="13.375" style="119" bestFit="1" customWidth="1"/>
    <col min="518" max="518" width="37.75" style="119" customWidth="1"/>
    <col min="519" max="519" width="11" style="119" customWidth="1"/>
    <col min="520" max="520" width="1.5" style="119" customWidth="1"/>
    <col min="521" max="521" width="2" style="119" customWidth="1"/>
    <col min="522" max="522" width="0.875" style="119" customWidth="1"/>
    <col min="523" max="523" width="6" style="119" customWidth="1"/>
    <col min="524" max="524" width="1.75" style="119" customWidth="1"/>
    <col min="525" max="525" width="5.75" style="119" customWidth="1"/>
    <col min="526" max="526" width="2.125" style="119" customWidth="1"/>
    <col min="527" max="527" width="15.75" style="119" customWidth="1"/>
    <col min="528" max="528" width="8.75" style="119"/>
    <col min="529" max="529" width="15.875" style="119" bestFit="1" customWidth="1"/>
    <col min="530" max="767" width="8.75" style="119"/>
    <col min="768" max="768" width="14.5" style="119" bestFit="1" customWidth="1"/>
    <col min="769" max="769" width="11.375" style="119" customWidth="1"/>
    <col min="770" max="771" width="16.125" style="119" customWidth="1"/>
    <col min="772" max="772" width="12.125" style="119" bestFit="1" customWidth="1"/>
    <col min="773" max="773" width="13.375" style="119" bestFit="1" customWidth="1"/>
    <col min="774" max="774" width="37.75" style="119" customWidth="1"/>
    <col min="775" max="775" width="11" style="119" customWidth="1"/>
    <col min="776" max="776" width="1.5" style="119" customWidth="1"/>
    <col min="777" max="777" width="2" style="119" customWidth="1"/>
    <col min="778" max="778" width="0.875" style="119" customWidth="1"/>
    <col min="779" max="779" width="6" style="119" customWidth="1"/>
    <col min="780" max="780" width="1.75" style="119" customWidth="1"/>
    <col min="781" max="781" width="5.75" style="119" customWidth="1"/>
    <col min="782" max="782" width="2.125" style="119" customWidth="1"/>
    <col min="783" max="783" width="15.75" style="119" customWidth="1"/>
    <col min="784" max="784" width="8.75" style="119"/>
    <col min="785" max="785" width="15.875" style="119" bestFit="1" customWidth="1"/>
    <col min="786" max="1023" width="8.75" style="119"/>
    <col min="1024" max="1024" width="14.5" style="119" bestFit="1" customWidth="1"/>
    <col min="1025" max="1025" width="11.375" style="119" customWidth="1"/>
    <col min="1026" max="1027" width="16.125" style="119" customWidth="1"/>
    <col min="1028" max="1028" width="12.125" style="119" bestFit="1" customWidth="1"/>
    <col min="1029" max="1029" width="13.375" style="119" bestFit="1" customWidth="1"/>
    <col min="1030" max="1030" width="37.75" style="119" customWidth="1"/>
    <col min="1031" max="1031" width="11" style="119" customWidth="1"/>
    <col min="1032" max="1032" width="1.5" style="119" customWidth="1"/>
    <col min="1033" max="1033" width="2" style="119" customWidth="1"/>
    <col min="1034" max="1034" width="0.875" style="119" customWidth="1"/>
    <col min="1035" max="1035" width="6" style="119" customWidth="1"/>
    <col min="1036" max="1036" width="1.75" style="119" customWidth="1"/>
    <col min="1037" max="1037" width="5.75" style="119" customWidth="1"/>
    <col min="1038" max="1038" width="2.125" style="119" customWidth="1"/>
    <col min="1039" max="1039" width="15.75" style="119" customWidth="1"/>
    <col min="1040" max="1040" width="8.75" style="119"/>
    <col min="1041" max="1041" width="15.875" style="119" bestFit="1" customWidth="1"/>
    <col min="1042" max="1279" width="8.75" style="119"/>
    <col min="1280" max="1280" width="14.5" style="119" bestFit="1" customWidth="1"/>
    <col min="1281" max="1281" width="11.375" style="119" customWidth="1"/>
    <col min="1282" max="1283" width="16.125" style="119" customWidth="1"/>
    <col min="1284" max="1284" width="12.125" style="119" bestFit="1" customWidth="1"/>
    <col min="1285" max="1285" width="13.375" style="119" bestFit="1" customWidth="1"/>
    <col min="1286" max="1286" width="37.75" style="119" customWidth="1"/>
    <col min="1287" max="1287" width="11" style="119" customWidth="1"/>
    <col min="1288" max="1288" width="1.5" style="119" customWidth="1"/>
    <col min="1289" max="1289" width="2" style="119" customWidth="1"/>
    <col min="1290" max="1290" width="0.875" style="119" customWidth="1"/>
    <col min="1291" max="1291" width="6" style="119" customWidth="1"/>
    <col min="1292" max="1292" width="1.75" style="119" customWidth="1"/>
    <col min="1293" max="1293" width="5.75" style="119" customWidth="1"/>
    <col min="1294" max="1294" width="2.125" style="119" customWidth="1"/>
    <col min="1295" max="1295" width="15.75" style="119" customWidth="1"/>
    <col min="1296" max="1296" width="8.75" style="119"/>
    <col min="1297" max="1297" width="15.875" style="119" bestFit="1" customWidth="1"/>
    <col min="1298" max="1535" width="8.75" style="119"/>
    <col min="1536" max="1536" width="14.5" style="119" bestFit="1" customWidth="1"/>
    <col min="1537" max="1537" width="11.375" style="119" customWidth="1"/>
    <col min="1538" max="1539" width="16.125" style="119" customWidth="1"/>
    <col min="1540" max="1540" width="12.125" style="119" bestFit="1" customWidth="1"/>
    <col min="1541" max="1541" width="13.375" style="119" bestFit="1" customWidth="1"/>
    <col min="1542" max="1542" width="37.75" style="119" customWidth="1"/>
    <col min="1543" max="1543" width="11" style="119" customWidth="1"/>
    <col min="1544" max="1544" width="1.5" style="119" customWidth="1"/>
    <col min="1545" max="1545" width="2" style="119" customWidth="1"/>
    <col min="1546" max="1546" width="0.875" style="119" customWidth="1"/>
    <col min="1547" max="1547" width="6" style="119" customWidth="1"/>
    <col min="1548" max="1548" width="1.75" style="119" customWidth="1"/>
    <col min="1549" max="1549" width="5.75" style="119" customWidth="1"/>
    <col min="1550" max="1550" width="2.125" style="119" customWidth="1"/>
    <col min="1551" max="1551" width="15.75" style="119" customWidth="1"/>
    <col min="1552" max="1552" width="8.75" style="119"/>
    <col min="1553" max="1553" width="15.875" style="119" bestFit="1" customWidth="1"/>
    <col min="1554" max="1791" width="8.75" style="119"/>
    <col min="1792" max="1792" width="14.5" style="119" bestFit="1" customWidth="1"/>
    <col min="1793" max="1793" width="11.375" style="119" customWidth="1"/>
    <col min="1794" max="1795" width="16.125" style="119" customWidth="1"/>
    <col min="1796" max="1796" width="12.125" style="119" bestFit="1" customWidth="1"/>
    <col min="1797" max="1797" width="13.375" style="119" bestFit="1" customWidth="1"/>
    <col min="1798" max="1798" width="37.75" style="119" customWidth="1"/>
    <col min="1799" max="1799" width="11" style="119" customWidth="1"/>
    <col min="1800" max="1800" width="1.5" style="119" customWidth="1"/>
    <col min="1801" max="1801" width="2" style="119" customWidth="1"/>
    <col min="1802" max="1802" width="0.875" style="119" customWidth="1"/>
    <col min="1803" max="1803" width="6" style="119" customWidth="1"/>
    <col min="1804" max="1804" width="1.75" style="119" customWidth="1"/>
    <col min="1805" max="1805" width="5.75" style="119" customWidth="1"/>
    <col min="1806" max="1806" width="2.125" style="119" customWidth="1"/>
    <col min="1807" max="1807" width="15.75" style="119" customWidth="1"/>
    <col min="1808" max="1808" width="8.75" style="119"/>
    <col min="1809" max="1809" width="15.875" style="119" bestFit="1" customWidth="1"/>
    <col min="1810" max="2047" width="8.75" style="119"/>
    <col min="2048" max="2048" width="14.5" style="119" bestFit="1" customWidth="1"/>
    <col min="2049" max="2049" width="11.375" style="119" customWidth="1"/>
    <col min="2050" max="2051" width="16.125" style="119" customWidth="1"/>
    <col min="2052" max="2052" width="12.125" style="119" bestFit="1" customWidth="1"/>
    <col min="2053" max="2053" width="13.375" style="119" bestFit="1" customWidth="1"/>
    <col min="2054" max="2054" width="37.75" style="119" customWidth="1"/>
    <col min="2055" max="2055" width="11" style="119" customWidth="1"/>
    <col min="2056" max="2056" width="1.5" style="119" customWidth="1"/>
    <col min="2057" max="2057" width="2" style="119" customWidth="1"/>
    <col min="2058" max="2058" width="0.875" style="119" customWidth="1"/>
    <col min="2059" max="2059" width="6" style="119" customWidth="1"/>
    <col min="2060" max="2060" width="1.75" style="119" customWidth="1"/>
    <col min="2061" max="2061" width="5.75" style="119" customWidth="1"/>
    <col min="2062" max="2062" width="2.125" style="119" customWidth="1"/>
    <col min="2063" max="2063" width="15.75" style="119" customWidth="1"/>
    <col min="2064" max="2064" width="8.75" style="119"/>
    <col min="2065" max="2065" width="15.875" style="119" bestFit="1" customWidth="1"/>
    <col min="2066" max="2303" width="8.75" style="119"/>
    <col min="2304" max="2304" width="14.5" style="119" bestFit="1" customWidth="1"/>
    <col min="2305" max="2305" width="11.375" style="119" customWidth="1"/>
    <col min="2306" max="2307" width="16.125" style="119" customWidth="1"/>
    <col min="2308" max="2308" width="12.125" style="119" bestFit="1" customWidth="1"/>
    <col min="2309" max="2309" width="13.375" style="119" bestFit="1" customWidth="1"/>
    <col min="2310" max="2310" width="37.75" style="119" customWidth="1"/>
    <col min="2311" max="2311" width="11" style="119" customWidth="1"/>
    <col min="2312" max="2312" width="1.5" style="119" customWidth="1"/>
    <col min="2313" max="2313" width="2" style="119" customWidth="1"/>
    <col min="2314" max="2314" width="0.875" style="119" customWidth="1"/>
    <col min="2315" max="2315" width="6" style="119" customWidth="1"/>
    <col min="2316" max="2316" width="1.75" style="119" customWidth="1"/>
    <col min="2317" max="2317" width="5.75" style="119" customWidth="1"/>
    <col min="2318" max="2318" width="2.125" style="119" customWidth="1"/>
    <col min="2319" max="2319" width="15.75" style="119" customWidth="1"/>
    <col min="2320" max="2320" width="8.75" style="119"/>
    <col min="2321" max="2321" width="15.875" style="119" bestFit="1" customWidth="1"/>
    <col min="2322" max="2559" width="8.75" style="119"/>
    <col min="2560" max="2560" width="14.5" style="119" bestFit="1" customWidth="1"/>
    <col min="2561" max="2561" width="11.375" style="119" customWidth="1"/>
    <col min="2562" max="2563" width="16.125" style="119" customWidth="1"/>
    <col min="2564" max="2564" width="12.125" style="119" bestFit="1" customWidth="1"/>
    <col min="2565" max="2565" width="13.375" style="119" bestFit="1" customWidth="1"/>
    <col min="2566" max="2566" width="37.75" style="119" customWidth="1"/>
    <col min="2567" max="2567" width="11" style="119" customWidth="1"/>
    <col min="2568" max="2568" width="1.5" style="119" customWidth="1"/>
    <col min="2569" max="2569" width="2" style="119" customWidth="1"/>
    <col min="2570" max="2570" width="0.875" style="119" customWidth="1"/>
    <col min="2571" max="2571" width="6" style="119" customWidth="1"/>
    <col min="2572" max="2572" width="1.75" style="119" customWidth="1"/>
    <col min="2573" max="2573" width="5.75" style="119" customWidth="1"/>
    <col min="2574" max="2574" width="2.125" style="119" customWidth="1"/>
    <col min="2575" max="2575" width="15.75" style="119" customWidth="1"/>
    <col min="2576" max="2576" width="8.75" style="119"/>
    <col min="2577" max="2577" width="15.875" style="119" bestFit="1" customWidth="1"/>
    <col min="2578" max="2815" width="8.75" style="119"/>
    <col min="2816" max="2816" width="14.5" style="119" bestFit="1" customWidth="1"/>
    <col min="2817" max="2817" width="11.375" style="119" customWidth="1"/>
    <col min="2818" max="2819" width="16.125" style="119" customWidth="1"/>
    <col min="2820" max="2820" width="12.125" style="119" bestFit="1" customWidth="1"/>
    <col min="2821" max="2821" width="13.375" style="119" bestFit="1" customWidth="1"/>
    <col min="2822" max="2822" width="37.75" style="119" customWidth="1"/>
    <col min="2823" max="2823" width="11" style="119" customWidth="1"/>
    <col min="2824" max="2824" width="1.5" style="119" customWidth="1"/>
    <col min="2825" max="2825" width="2" style="119" customWidth="1"/>
    <col min="2826" max="2826" width="0.875" style="119" customWidth="1"/>
    <col min="2827" max="2827" width="6" style="119" customWidth="1"/>
    <col min="2828" max="2828" width="1.75" style="119" customWidth="1"/>
    <col min="2829" max="2829" width="5.75" style="119" customWidth="1"/>
    <col min="2830" max="2830" width="2.125" style="119" customWidth="1"/>
    <col min="2831" max="2831" width="15.75" style="119" customWidth="1"/>
    <col min="2832" max="2832" width="8.75" style="119"/>
    <col min="2833" max="2833" width="15.875" style="119" bestFit="1" customWidth="1"/>
    <col min="2834" max="3071" width="8.75" style="119"/>
    <col min="3072" max="3072" width="14.5" style="119" bestFit="1" customWidth="1"/>
    <col min="3073" max="3073" width="11.375" style="119" customWidth="1"/>
    <col min="3074" max="3075" width="16.125" style="119" customWidth="1"/>
    <col min="3076" max="3076" width="12.125" style="119" bestFit="1" customWidth="1"/>
    <col min="3077" max="3077" width="13.375" style="119" bestFit="1" customWidth="1"/>
    <col min="3078" max="3078" width="37.75" style="119" customWidth="1"/>
    <col min="3079" max="3079" width="11" style="119" customWidth="1"/>
    <col min="3080" max="3080" width="1.5" style="119" customWidth="1"/>
    <col min="3081" max="3081" width="2" style="119" customWidth="1"/>
    <col min="3082" max="3082" width="0.875" style="119" customWidth="1"/>
    <col min="3083" max="3083" width="6" style="119" customWidth="1"/>
    <col min="3084" max="3084" width="1.75" style="119" customWidth="1"/>
    <col min="3085" max="3085" width="5.75" style="119" customWidth="1"/>
    <col min="3086" max="3086" width="2.125" style="119" customWidth="1"/>
    <col min="3087" max="3087" width="15.75" style="119" customWidth="1"/>
    <col min="3088" max="3088" width="8.75" style="119"/>
    <col min="3089" max="3089" width="15.875" style="119" bestFit="1" customWidth="1"/>
    <col min="3090" max="3327" width="8.75" style="119"/>
    <col min="3328" max="3328" width="14.5" style="119" bestFit="1" customWidth="1"/>
    <col min="3329" max="3329" width="11.375" style="119" customWidth="1"/>
    <col min="3330" max="3331" width="16.125" style="119" customWidth="1"/>
    <col min="3332" max="3332" width="12.125" style="119" bestFit="1" customWidth="1"/>
    <col min="3333" max="3333" width="13.375" style="119" bestFit="1" customWidth="1"/>
    <col min="3334" max="3334" width="37.75" style="119" customWidth="1"/>
    <col min="3335" max="3335" width="11" style="119" customWidth="1"/>
    <col min="3336" max="3336" width="1.5" style="119" customWidth="1"/>
    <col min="3337" max="3337" width="2" style="119" customWidth="1"/>
    <col min="3338" max="3338" width="0.875" style="119" customWidth="1"/>
    <col min="3339" max="3339" width="6" style="119" customWidth="1"/>
    <col min="3340" max="3340" width="1.75" style="119" customWidth="1"/>
    <col min="3341" max="3341" width="5.75" style="119" customWidth="1"/>
    <col min="3342" max="3342" width="2.125" style="119" customWidth="1"/>
    <col min="3343" max="3343" width="15.75" style="119" customWidth="1"/>
    <col min="3344" max="3344" width="8.75" style="119"/>
    <col min="3345" max="3345" width="15.875" style="119" bestFit="1" customWidth="1"/>
    <col min="3346" max="3583" width="8.75" style="119"/>
    <col min="3584" max="3584" width="14.5" style="119" bestFit="1" customWidth="1"/>
    <col min="3585" max="3585" width="11.375" style="119" customWidth="1"/>
    <col min="3586" max="3587" width="16.125" style="119" customWidth="1"/>
    <col min="3588" max="3588" width="12.125" style="119" bestFit="1" customWidth="1"/>
    <col min="3589" max="3589" width="13.375" style="119" bestFit="1" customWidth="1"/>
    <col min="3590" max="3590" width="37.75" style="119" customWidth="1"/>
    <col min="3591" max="3591" width="11" style="119" customWidth="1"/>
    <col min="3592" max="3592" width="1.5" style="119" customWidth="1"/>
    <col min="3593" max="3593" width="2" style="119" customWidth="1"/>
    <col min="3594" max="3594" width="0.875" style="119" customWidth="1"/>
    <col min="3595" max="3595" width="6" style="119" customWidth="1"/>
    <col min="3596" max="3596" width="1.75" style="119" customWidth="1"/>
    <col min="3597" max="3597" width="5.75" style="119" customWidth="1"/>
    <col min="3598" max="3598" width="2.125" style="119" customWidth="1"/>
    <col min="3599" max="3599" width="15.75" style="119" customWidth="1"/>
    <col min="3600" max="3600" width="8.75" style="119"/>
    <col min="3601" max="3601" width="15.875" style="119" bestFit="1" customWidth="1"/>
    <col min="3602" max="3839" width="8.75" style="119"/>
    <col min="3840" max="3840" width="14.5" style="119" bestFit="1" customWidth="1"/>
    <col min="3841" max="3841" width="11.375" style="119" customWidth="1"/>
    <col min="3842" max="3843" width="16.125" style="119" customWidth="1"/>
    <col min="3844" max="3844" width="12.125" style="119" bestFit="1" customWidth="1"/>
    <col min="3845" max="3845" width="13.375" style="119" bestFit="1" customWidth="1"/>
    <col min="3846" max="3846" width="37.75" style="119" customWidth="1"/>
    <col min="3847" max="3847" width="11" style="119" customWidth="1"/>
    <col min="3848" max="3848" width="1.5" style="119" customWidth="1"/>
    <col min="3849" max="3849" width="2" style="119" customWidth="1"/>
    <col min="3850" max="3850" width="0.875" style="119" customWidth="1"/>
    <col min="3851" max="3851" width="6" style="119" customWidth="1"/>
    <col min="3852" max="3852" width="1.75" style="119" customWidth="1"/>
    <col min="3853" max="3853" width="5.75" style="119" customWidth="1"/>
    <col min="3854" max="3854" width="2.125" style="119" customWidth="1"/>
    <col min="3855" max="3855" width="15.75" style="119" customWidth="1"/>
    <col min="3856" max="3856" width="8.75" style="119"/>
    <col min="3857" max="3857" width="15.875" style="119" bestFit="1" customWidth="1"/>
    <col min="3858" max="4095" width="8.75" style="119"/>
    <col min="4096" max="4096" width="14.5" style="119" bestFit="1" customWidth="1"/>
    <col min="4097" max="4097" width="11.375" style="119" customWidth="1"/>
    <col min="4098" max="4099" width="16.125" style="119" customWidth="1"/>
    <col min="4100" max="4100" width="12.125" style="119" bestFit="1" customWidth="1"/>
    <col min="4101" max="4101" width="13.375" style="119" bestFit="1" customWidth="1"/>
    <col min="4102" max="4102" width="37.75" style="119" customWidth="1"/>
    <col min="4103" max="4103" width="11" style="119" customWidth="1"/>
    <col min="4104" max="4104" width="1.5" style="119" customWidth="1"/>
    <col min="4105" max="4105" width="2" style="119" customWidth="1"/>
    <col min="4106" max="4106" width="0.875" style="119" customWidth="1"/>
    <col min="4107" max="4107" width="6" style="119" customWidth="1"/>
    <col min="4108" max="4108" width="1.75" style="119" customWidth="1"/>
    <col min="4109" max="4109" width="5.75" style="119" customWidth="1"/>
    <col min="4110" max="4110" width="2.125" style="119" customWidth="1"/>
    <col min="4111" max="4111" width="15.75" style="119" customWidth="1"/>
    <col min="4112" max="4112" width="8.75" style="119"/>
    <col min="4113" max="4113" width="15.875" style="119" bestFit="1" customWidth="1"/>
    <col min="4114" max="4351" width="8.75" style="119"/>
    <col min="4352" max="4352" width="14.5" style="119" bestFit="1" customWidth="1"/>
    <col min="4353" max="4353" width="11.375" style="119" customWidth="1"/>
    <col min="4354" max="4355" width="16.125" style="119" customWidth="1"/>
    <col min="4356" max="4356" width="12.125" style="119" bestFit="1" customWidth="1"/>
    <col min="4357" max="4357" width="13.375" style="119" bestFit="1" customWidth="1"/>
    <col min="4358" max="4358" width="37.75" style="119" customWidth="1"/>
    <col min="4359" max="4359" width="11" style="119" customWidth="1"/>
    <col min="4360" max="4360" width="1.5" style="119" customWidth="1"/>
    <col min="4361" max="4361" width="2" style="119" customWidth="1"/>
    <col min="4362" max="4362" width="0.875" style="119" customWidth="1"/>
    <col min="4363" max="4363" width="6" style="119" customWidth="1"/>
    <col min="4364" max="4364" width="1.75" style="119" customWidth="1"/>
    <col min="4365" max="4365" width="5.75" style="119" customWidth="1"/>
    <col min="4366" max="4366" width="2.125" style="119" customWidth="1"/>
    <col min="4367" max="4367" width="15.75" style="119" customWidth="1"/>
    <col min="4368" max="4368" width="8.75" style="119"/>
    <col min="4369" max="4369" width="15.875" style="119" bestFit="1" customWidth="1"/>
    <col min="4370" max="4607" width="8.75" style="119"/>
    <col min="4608" max="4608" width="14.5" style="119" bestFit="1" customWidth="1"/>
    <col min="4609" max="4609" width="11.375" style="119" customWidth="1"/>
    <col min="4610" max="4611" width="16.125" style="119" customWidth="1"/>
    <col min="4612" max="4612" width="12.125" style="119" bestFit="1" customWidth="1"/>
    <col min="4613" max="4613" width="13.375" style="119" bestFit="1" customWidth="1"/>
    <col min="4614" max="4614" width="37.75" style="119" customWidth="1"/>
    <col min="4615" max="4615" width="11" style="119" customWidth="1"/>
    <col min="4616" max="4616" width="1.5" style="119" customWidth="1"/>
    <col min="4617" max="4617" width="2" style="119" customWidth="1"/>
    <col min="4618" max="4618" width="0.875" style="119" customWidth="1"/>
    <col min="4619" max="4619" width="6" style="119" customWidth="1"/>
    <col min="4620" max="4620" width="1.75" style="119" customWidth="1"/>
    <col min="4621" max="4621" width="5.75" style="119" customWidth="1"/>
    <col min="4622" max="4622" width="2.125" style="119" customWidth="1"/>
    <col min="4623" max="4623" width="15.75" style="119" customWidth="1"/>
    <col min="4624" max="4624" width="8.75" style="119"/>
    <col min="4625" max="4625" width="15.875" style="119" bestFit="1" customWidth="1"/>
    <col min="4626" max="4863" width="8.75" style="119"/>
    <col min="4864" max="4864" width="14.5" style="119" bestFit="1" customWidth="1"/>
    <col min="4865" max="4865" width="11.375" style="119" customWidth="1"/>
    <col min="4866" max="4867" width="16.125" style="119" customWidth="1"/>
    <col min="4868" max="4868" width="12.125" style="119" bestFit="1" customWidth="1"/>
    <col min="4869" max="4869" width="13.375" style="119" bestFit="1" customWidth="1"/>
    <col min="4870" max="4870" width="37.75" style="119" customWidth="1"/>
    <col min="4871" max="4871" width="11" style="119" customWidth="1"/>
    <col min="4872" max="4872" width="1.5" style="119" customWidth="1"/>
    <col min="4873" max="4873" width="2" style="119" customWidth="1"/>
    <col min="4874" max="4874" width="0.875" style="119" customWidth="1"/>
    <col min="4875" max="4875" width="6" style="119" customWidth="1"/>
    <col min="4876" max="4876" width="1.75" style="119" customWidth="1"/>
    <col min="4877" max="4877" width="5.75" style="119" customWidth="1"/>
    <col min="4878" max="4878" width="2.125" style="119" customWidth="1"/>
    <col min="4879" max="4879" width="15.75" style="119" customWidth="1"/>
    <col min="4880" max="4880" width="8.75" style="119"/>
    <col min="4881" max="4881" width="15.875" style="119" bestFit="1" customWidth="1"/>
    <col min="4882" max="5119" width="8.75" style="119"/>
    <col min="5120" max="5120" width="14.5" style="119" bestFit="1" customWidth="1"/>
    <col min="5121" max="5121" width="11.375" style="119" customWidth="1"/>
    <col min="5122" max="5123" width="16.125" style="119" customWidth="1"/>
    <col min="5124" max="5124" width="12.125" style="119" bestFit="1" customWidth="1"/>
    <col min="5125" max="5125" width="13.375" style="119" bestFit="1" customWidth="1"/>
    <col min="5126" max="5126" width="37.75" style="119" customWidth="1"/>
    <col min="5127" max="5127" width="11" style="119" customWidth="1"/>
    <col min="5128" max="5128" width="1.5" style="119" customWidth="1"/>
    <col min="5129" max="5129" width="2" style="119" customWidth="1"/>
    <col min="5130" max="5130" width="0.875" style="119" customWidth="1"/>
    <col min="5131" max="5131" width="6" style="119" customWidth="1"/>
    <col min="5132" max="5132" width="1.75" style="119" customWidth="1"/>
    <col min="5133" max="5133" width="5.75" style="119" customWidth="1"/>
    <col min="5134" max="5134" width="2.125" style="119" customWidth="1"/>
    <col min="5135" max="5135" width="15.75" style="119" customWidth="1"/>
    <col min="5136" max="5136" width="8.75" style="119"/>
    <col min="5137" max="5137" width="15.875" style="119" bestFit="1" customWidth="1"/>
    <col min="5138" max="5375" width="8.75" style="119"/>
    <col min="5376" max="5376" width="14.5" style="119" bestFit="1" customWidth="1"/>
    <col min="5377" max="5377" width="11.375" style="119" customWidth="1"/>
    <col min="5378" max="5379" width="16.125" style="119" customWidth="1"/>
    <col min="5380" max="5380" width="12.125" style="119" bestFit="1" customWidth="1"/>
    <col min="5381" max="5381" width="13.375" style="119" bestFit="1" customWidth="1"/>
    <col min="5382" max="5382" width="37.75" style="119" customWidth="1"/>
    <col min="5383" max="5383" width="11" style="119" customWidth="1"/>
    <col min="5384" max="5384" width="1.5" style="119" customWidth="1"/>
    <col min="5385" max="5385" width="2" style="119" customWidth="1"/>
    <col min="5386" max="5386" width="0.875" style="119" customWidth="1"/>
    <col min="5387" max="5387" width="6" style="119" customWidth="1"/>
    <col min="5388" max="5388" width="1.75" style="119" customWidth="1"/>
    <col min="5389" max="5389" width="5.75" style="119" customWidth="1"/>
    <col min="5390" max="5390" width="2.125" style="119" customWidth="1"/>
    <col min="5391" max="5391" width="15.75" style="119" customWidth="1"/>
    <col min="5392" max="5392" width="8.75" style="119"/>
    <col min="5393" max="5393" width="15.875" style="119" bestFit="1" customWidth="1"/>
    <col min="5394" max="5631" width="8.75" style="119"/>
    <col min="5632" max="5632" width="14.5" style="119" bestFit="1" customWidth="1"/>
    <col min="5633" max="5633" width="11.375" style="119" customWidth="1"/>
    <col min="5634" max="5635" width="16.125" style="119" customWidth="1"/>
    <col min="5636" max="5636" width="12.125" style="119" bestFit="1" customWidth="1"/>
    <col min="5637" max="5637" width="13.375" style="119" bestFit="1" customWidth="1"/>
    <col min="5638" max="5638" width="37.75" style="119" customWidth="1"/>
    <col min="5639" max="5639" width="11" style="119" customWidth="1"/>
    <col min="5640" max="5640" width="1.5" style="119" customWidth="1"/>
    <col min="5641" max="5641" width="2" style="119" customWidth="1"/>
    <col min="5642" max="5642" width="0.875" style="119" customWidth="1"/>
    <col min="5643" max="5643" width="6" style="119" customWidth="1"/>
    <col min="5644" max="5644" width="1.75" style="119" customWidth="1"/>
    <col min="5645" max="5645" width="5.75" style="119" customWidth="1"/>
    <col min="5646" max="5646" width="2.125" style="119" customWidth="1"/>
    <col min="5647" max="5647" width="15.75" style="119" customWidth="1"/>
    <col min="5648" max="5648" width="8.75" style="119"/>
    <col min="5649" max="5649" width="15.875" style="119" bestFit="1" customWidth="1"/>
    <col min="5650" max="5887" width="8.75" style="119"/>
    <col min="5888" max="5888" width="14.5" style="119" bestFit="1" customWidth="1"/>
    <col min="5889" max="5889" width="11.375" style="119" customWidth="1"/>
    <col min="5890" max="5891" width="16.125" style="119" customWidth="1"/>
    <col min="5892" max="5892" width="12.125" style="119" bestFit="1" customWidth="1"/>
    <col min="5893" max="5893" width="13.375" style="119" bestFit="1" customWidth="1"/>
    <col min="5894" max="5894" width="37.75" style="119" customWidth="1"/>
    <col min="5895" max="5895" width="11" style="119" customWidth="1"/>
    <col min="5896" max="5896" width="1.5" style="119" customWidth="1"/>
    <col min="5897" max="5897" width="2" style="119" customWidth="1"/>
    <col min="5898" max="5898" width="0.875" style="119" customWidth="1"/>
    <col min="5899" max="5899" width="6" style="119" customWidth="1"/>
    <col min="5900" max="5900" width="1.75" style="119" customWidth="1"/>
    <col min="5901" max="5901" width="5.75" style="119" customWidth="1"/>
    <col min="5902" max="5902" width="2.125" style="119" customWidth="1"/>
    <col min="5903" max="5903" width="15.75" style="119" customWidth="1"/>
    <col min="5904" max="5904" width="8.75" style="119"/>
    <col min="5905" max="5905" width="15.875" style="119" bestFit="1" customWidth="1"/>
    <col min="5906" max="6143" width="8.75" style="119"/>
    <col min="6144" max="6144" width="14.5" style="119" bestFit="1" customWidth="1"/>
    <col min="6145" max="6145" width="11.375" style="119" customWidth="1"/>
    <col min="6146" max="6147" width="16.125" style="119" customWidth="1"/>
    <col min="6148" max="6148" width="12.125" style="119" bestFit="1" customWidth="1"/>
    <col min="6149" max="6149" width="13.375" style="119" bestFit="1" customWidth="1"/>
    <col min="6150" max="6150" width="37.75" style="119" customWidth="1"/>
    <col min="6151" max="6151" width="11" style="119" customWidth="1"/>
    <col min="6152" max="6152" width="1.5" style="119" customWidth="1"/>
    <col min="6153" max="6153" width="2" style="119" customWidth="1"/>
    <col min="6154" max="6154" width="0.875" style="119" customWidth="1"/>
    <col min="6155" max="6155" width="6" style="119" customWidth="1"/>
    <col min="6156" max="6156" width="1.75" style="119" customWidth="1"/>
    <col min="6157" max="6157" width="5.75" style="119" customWidth="1"/>
    <col min="6158" max="6158" width="2.125" style="119" customWidth="1"/>
    <col min="6159" max="6159" width="15.75" style="119" customWidth="1"/>
    <col min="6160" max="6160" width="8.75" style="119"/>
    <col min="6161" max="6161" width="15.875" style="119" bestFit="1" customWidth="1"/>
    <col min="6162" max="6399" width="8.75" style="119"/>
    <col min="6400" max="6400" width="14.5" style="119" bestFit="1" customWidth="1"/>
    <col min="6401" max="6401" width="11.375" style="119" customWidth="1"/>
    <col min="6402" max="6403" width="16.125" style="119" customWidth="1"/>
    <col min="6404" max="6404" width="12.125" style="119" bestFit="1" customWidth="1"/>
    <col min="6405" max="6405" width="13.375" style="119" bestFit="1" customWidth="1"/>
    <col min="6406" max="6406" width="37.75" style="119" customWidth="1"/>
    <col min="6407" max="6407" width="11" style="119" customWidth="1"/>
    <col min="6408" max="6408" width="1.5" style="119" customWidth="1"/>
    <col min="6409" max="6409" width="2" style="119" customWidth="1"/>
    <col min="6410" max="6410" width="0.875" style="119" customWidth="1"/>
    <col min="6411" max="6411" width="6" style="119" customWidth="1"/>
    <col min="6412" max="6412" width="1.75" style="119" customWidth="1"/>
    <col min="6413" max="6413" width="5.75" style="119" customWidth="1"/>
    <col min="6414" max="6414" width="2.125" style="119" customWidth="1"/>
    <col min="6415" max="6415" width="15.75" style="119" customWidth="1"/>
    <col min="6416" max="6416" width="8.75" style="119"/>
    <col min="6417" max="6417" width="15.875" style="119" bestFit="1" customWidth="1"/>
    <col min="6418" max="6655" width="8.75" style="119"/>
    <col min="6656" max="6656" width="14.5" style="119" bestFit="1" customWidth="1"/>
    <col min="6657" max="6657" width="11.375" style="119" customWidth="1"/>
    <col min="6658" max="6659" width="16.125" style="119" customWidth="1"/>
    <col min="6660" max="6660" width="12.125" style="119" bestFit="1" customWidth="1"/>
    <col min="6661" max="6661" width="13.375" style="119" bestFit="1" customWidth="1"/>
    <col min="6662" max="6662" width="37.75" style="119" customWidth="1"/>
    <col min="6663" max="6663" width="11" style="119" customWidth="1"/>
    <col min="6664" max="6664" width="1.5" style="119" customWidth="1"/>
    <col min="6665" max="6665" width="2" style="119" customWidth="1"/>
    <col min="6666" max="6666" width="0.875" style="119" customWidth="1"/>
    <col min="6667" max="6667" width="6" style="119" customWidth="1"/>
    <col min="6668" max="6668" width="1.75" style="119" customWidth="1"/>
    <col min="6669" max="6669" width="5.75" style="119" customWidth="1"/>
    <col min="6670" max="6670" width="2.125" style="119" customWidth="1"/>
    <col min="6671" max="6671" width="15.75" style="119" customWidth="1"/>
    <col min="6672" max="6672" width="8.75" style="119"/>
    <col min="6673" max="6673" width="15.875" style="119" bestFit="1" customWidth="1"/>
    <col min="6674" max="6911" width="8.75" style="119"/>
    <col min="6912" max="6912" width="14.5" style="119" bestFit="1" customWidth="1"/>
    <col min="6913" max="6913" width="11.375" style="119" customWidth="1"/>
    <col min="6914" max="6915" width="16.125" style="119" customWidth="1"/>
    <col min="6916" max="6916" width="12.125" style="119" bestFit="1" customWidth="1"/>
    <col min="6917" max="6917" width="13.375" style="119" bestFit="1" customWidth="1"/>
    <col min="6918" max="6918" width="37.75" style="119" customWidth="1"/>
    <col min="6919" max="6919" width="11" style="119" customWidth="1"/>
    <col min="6920" max="6920" width="1.5" style="119" customWidth="1"/>
    <col min="6921" max="6921" width="2" style="119" customWidth="1"/>
    <col min="6922" max="6922" width="0.875" style="119" customWidth="1"/>
    <col min="6923" max="6923" width="6" style="119" customWidth="1"/>
    <col min="6924" max="6924" width="1.75" style="119" customWidth="1"/>
    <col min="6925" max="6925" width="5.75" style="119" customWidth="1"/>
    <col min="6926" max="6926" width="2.125" style="119" customWidth="1"/>
    <col min="6927" max="6927" width="15.75" style="119" customWidth="1"/>
    <col min="6928" max="6928" width="8.75" style="119"/>
    <col min="6929" max="6929" width="15.875" style="119" bestFit="1" customWidth="1"/>
    <col min="6930" max="7167" width="8.75" style="119"/>
    <col min="7168" max="7168" width="14.5" style="119" bestFit="1" customWidth="1"/>
    <col min="7169" max="7169" width="11.375" style="119" customWidth="1"/>
    <col min="7170" max="7171" width="16.125" style="119" customWidth="1"/>
    <col min="7172" max="7172" width="12.125" style="119" bestFit="1" customWidth="1"/>
    <col min="7173" max="7173" width="13.375" style="119" bestFit="1" customWidth="1"/>
    <col min="7174" max="7174" width="37.75" style="119" customWidth="1"/>
    <col min="7175" max="7175" width="11" style="119" customWidth="1"/>
    <col min="7176" max="7176" width="1.5" style="119" customWidth="1"/>
    <col min="7177" max="7177" width="2" style="119" customWidth="1"/>
    <col min="7178" max="7178" width="0.875" style="119" customWidth="1"/>
    <col min="7179" max="7179" width="6" style="119" customWidth="1"/>
    <col min="7180" max="7180" width="1.75" style="119" customWidth="1"/>
    <col min="7181" max="7181" width="5.75" style="119" customWidth="1"/>
    <col min="7182" max="7182" width="2.125" style="119" customWidth="1"/>
    <col min="7183" max="7183" width="15.75" style="119" customWidth="1"/>
    <col min="7184" max="7184" width="8.75" style="119"/>
    <col min="7185" max="7185" width="15.875" style="119" bestFit="1" customWidth="1"/>
    <col min="7186" max="7423" width="8.75" style="119"/>
    <col min="7424" max="7424" width="14.5" style="119" bestFit="1" customWidth="1"/>
    <col min="7425" max="7425" width="11.375" style="119" customWidth="1"/>
    <col min="7426" max="7427" width="16.125" style="119" customWidth="1"/>
    <col min="7428" max="7428" width="12.125" style="119" bestFit="1" customWidth="1"/>
    <col min="7429" max="7429" width="13.375" style="119" bestFit="1" customWidth="1"/>
    <col min="7430" max="7430" width="37.75" style="119" customWidth="1"/>
    <col min="7431" max="7431" width="11" style="119" customWidth="1"/>
    <col min="7432" max="7432" width="1.5" style="119" customWidth="1"/>
    <col min="7433" max="7433" width="2" style="119" customWidth="1"/>
    <col min="7434" max="7434" width="0.875" style="119" customWidth="1"/>
    <col min="7435" max="7435" width="6" style="119" customWidth="1"/>
    <col min="7436" max="7436" width="1.75" style="119" customWidth="1"/>
    <col min="7437" max="7437" width="5.75" style="119" customWidth="1"/>
    <col min="7438" max="7438" width="2.125" style="119" customWidth="1"/>
    <col min="7439" max="7439" width="15.75" style="119" customWidth="1"/>
    <col min="7440" max="7440" width="8.75" style="119"/>
    <col min="7441" max="7441" width="15.875" style="119" bestFit="1" customWidth="1"/>
    <col min="7442" max="7679" width="8.75" style="119"/>
    <col min="7680" max="7680" width="14.5" style="119" bestFit="1" customWidth="1"/>
    <col min="7681" max="7681" width="11.375" style="119" customWidth="1"/>
    <col min="7682" max="7683" width="16.125" style="119" customWidth="1"/>
    <col min="7684" max="7684" width="12.125" style="119" bestFit="1" customWidth="1"/>
    <col min="7685" max="7685" width="13.375" style="119" bestFit="1" customWidth="1"/>
    <col min="7686" max="7686" width="37.75" style="119" customWidth="1"/>
    <col min="7687" max="7687" width="11" style="119" customWidth="1"/>
    <col min="7688" max="7688" width="1.5" style="119" customWidth="1"/>
    <col min="7689" max="7689" width="2" style="119" customWidth="1"/>
    <col min="7690" max="7690" width="0.875" style="119" customWidth="1"/>
    <col min="7691" max="7691" width="6" style="119" customWidth="1"/>
    <col min="7692" max="7692" width="1.75" style="119" customWidth="1"/>
    <col min="7693" max="7693" width="5.75" style="119" customWidth="1"/>
    <col min="7694" max="7694" width="2.125" style="119" customWidth="1"/>
    <col min="7695" max="7695" width="15.75" style="119" customWidth="1"/>
    <col min="7696" max="7696" width="8.75" style="119"/>
    <col min="7697" max="7697" width="15.875" style="119" bestFit="1" customWidth="1"/>
    <col min="7698" max="7935" width="8.75" style="119"/>
    <col min="7936" max="7936" width="14.5" style="119" bestFit="1" customWidth="1"/>
    <col min="7937" max="7937" width="11.375" style="119" customWidth="1"/>
    <col min="7938" max="7939" width="16.125" style="119" customWidth="1"/>
    <col min="7940" max="7940" width="12.125" style="119" bestFit="1" customWidth="1"/>
    <col min="7941" max="7941" width="13.375" style="119" bestFit="1" customWidth="1"/>
    <col min="7942" max="7942" width="37.75" style="119" customWidth="1"/>
    <col min="7943" max="7943" width="11" style="119" customWidth="1"/>
    <col min="7944" max="7944" width="1.5" style="119" customWidth="1"/>
    <col min="7945" max="7945" width="2" style="119" customWidth="1"/>
    <col min="7946" max="7946" width="0.875" style="119" customWidth="1"/>
    <col min="7947" max="7947" width="6" style="119" customWidth="1"/>
    <col min="7948" max="7948" width="1.75" style="119" customWidth="1"/>
    <col min="7949" max="7949" width="5.75" style="119" customWidth="1"/>
    <col min="7950" max="7950" width="2.125" style="119" customWidth="1"/>
    <col min="7951" max="7951" width="15.75" style="119" customWidth="1"/>
    <col min="7952" max="7952" width="8.75" style="119"/>
    <col min="7953" max="7953" width="15.875" style="119" bestFit="1" customWidth="1"/>
    <col min="7954" max="8191" width="8.75" style="119"/>
    <col min="8192" max="8192" width="14.5" style="119" bestFit="1" customWidth="1"/>
    <col min="8193" max="8193" width="11.375" style="119" customWidth="1"/>
    <col min="8194" max="8195" width="16.125" style="119" customWidth="1"/>
    <col min="8196" max="8196" width="12.125" style="119" bestFit="1" customWidth="1"/>
    <col min="8197" max="8197" width="13.375" style="119" bestFit="1" customWidth="1"/>
    <col min="8198" max="8198" width="37.75" style="119" customWidth="1"/>
    <col min="8199" max="8199" width="11" style="119" customWidth="1"/>
    <col min="8200" max="8200" width="1.5" style="119" customWidth="1"/>
    <col min="8201" max="8201" width="2" style="119" customWidth="1"/>
    <col min="8202" max="8202" width="0.875" style="119" customWidth="1"/>
    <col min="8203" max="8203" width="6" style="119" customWidth="1"/>
    <col min="8204" max="8204" width="1.75" style="119" customWidth="1"/>
    <col min="8205" max="8205" width="5.75" style="119" customWidth="1"/>
    <col min="8206" max="8206" width="2.125" style="119" customWidth="1"/>
    <col min="8207" max="8207" width="15.75" style="119" customWidth="1"/>
    <col min="8208" max="8208" width="8.75" style="119"/>
    <col min="8209" max="8209" width="15.875" style="119" bestFit="1" customWidth="1"/>
    <col min="8210" max="8447" width="8.75" style="119"/>
    <col min="8448" max="8448" width="14.5" style="119" bestFit="1" customWidth="1"/>
    <col min="8449" max="8449" width="11.375" style="119" customWidth="1"/>
    <col min="8450" max="8451" width="16.125" style="119" customWidth="1"/>
    <col min="8452" max="8452" width="12.125" style="119" bestFit="1" customWidth="1"/>
    <col min="8453" max="8453" width="13.375" style="119" bestFit="1" customWidth="1"/>
    <col min="8454" max="8454" width="37.75" style="119" customWidth="1"/>
    <col min="8455" max="8455" width="11" style="119" customWidth="1"/>
    <col min="8456" max="8456" width="1.5" style="119" customWidth="1"/>
    <col min="8457" max="8457" width="2" style="119" customWidth="1"/>
    <col min="8458" max="8458" width="0.875" style="119" customWidth="1"/>
    <col min="8459" max="8459" width="6" style="119" customWidth="1"/>
    <col min="8460" max="8460" width="1.75" style="119" customWidth="1"/>
    <col min="8461" max="8461" width="5.75" style="119" customWidth="1"/>
    <col min="8462" max="8462" width="2.125" style="119" customWidth="1"/>
    <col min="8463" max="8463" width="15.75" style="119" customWidth="1"/>
    <col min="8464" max="8464" width="8.75" style="119"/>
    <col min="8465" max="8465" width="15.875" style="119" bestFit="1" customWidth="1"/>
    <col min="8466" max="8703" width="8.75" style="119"/>
    <col min="8704" max="8704" width="14.5" style="119" bestFit="1" customWidth="1"/>
    <col min="8705" max="8705" width="11.375" style="119" customWidth="1"/>
    <col min="8706" max="8707" width="16.125" style="119" customWidth="1"/>
    <col min="8708" max="8708" width="12.125" style="119" bestFit="1" customWidth="1"/>
    <col min="8709" max="8709" width="13.375" style="119" bestFit="1" customWidth="1"/>
    <col min="8710" max="8710" width="37.75" style="119" customWidth="1"/>
    <col min="8711" max="8711" width="11" style="119" customWidth="1"/>
    <col min="8712" max="8712" width="1.5" style="119" customWidth="1"/>
    <col min="8713" max="8713" width="2" style="119" customWidth="1"/>
    <col min="8714" max="8714" width="0.875" style="119" customWidth="1"/>
    <col min="8715" max="8715" width="6" style="119" customWidth="1"/>
    <col min="8716" max="8716" width="1.75" style="119" customWidth="1"/>
    <col min="8717" max="8717" width="5.75" style="119" customWidth="1"/>
    <col min="8718" max="8718" width="2.125" style="119" customWidth="1"/>
    <col min="8719" max="8719" width="15.75" style="119" customWidth="1"/>
    <col min="8720" max="8720" width="8.75" style="119"/>
    <col min="8721" max="8721" width="15.875" style="119" bestFit="1" customWidth="1"/>
    <col min="8722" max="8959" width="8.75" style="119"/>
    <col min="8960" max="8960" width="14.5" style="119" bestFit="1" customWidth="1"/>
    <col min="8961" max="8961" width="11.375" style="119" customWidth="1"/>
    <col min="8962" max="8963" width="16.125" style="119" customWidth="1"/>
    <col min="8964" max="8964" width="12.125" style="119" bestFit="1" customWidth="1"/>
    <col min="8965" max="8965" width="13.375" style="119" bestFit="1" customWidth="1"/>
    <col min="8966" max="8966" width="37.75" style="119" customWidth="1"/>
    <col min="8967" max="8967" width="11" style="119" customWidth="1"/>
    <col min="8968" max="8968" width="1.5" style="119" customWidth="1"/>
    <col min="8969" max="8969" width="2" style="119" customWidth="1"/>
    <col min="8970" max="8970" width="0.875" style="119" customWidth="1"/>
    <col min="8971" max="8971" width="6" style="119" customWidth="1"/>
    <col min="8972" max="8972" width="1.75" style="119" customWidth="1"/>
    <col min="8973" max="8973" width="5.75" style="119" customWidth="1"/>
    <col min="8974" max="8974" width="2.125" style="119" customWidth="1"/>
    <col min="8975" max="8975" width="15.75" style="119" customWidth="1"/>
    <col min="8976" max="8976" width="8.75" style="119"/>
    <col min="8977" max="8977" width="15.875" style="119" bestFit="1" customWidth="1"/>
    <col min="8978" max="9215" width="8.75" style="119"/>
    <col min="9216" max="9216" width="14.5" style="119" bestFit="1" customWidth="1"/>
    <col min="9217" max="9217" width="11.375" style="119" customWidth="1"/>
    <col min="9218" max="9219" width="16.125" style="119" customWidth="1"/>
    <col min="9220" max="9220" width="12.125" style="119" bestFit="1" customWidth="1"/>
    <col min="9221" max="9221" width="13.375" style="119" bestFit="1" customWidth="1"/>
    <col min="9222" max="9222" width="37.75" style="119" customWidth="1"/>
    <col min="9223" max="9223" width="11" style="119" customWidth="1"/>
    <col min="9224" max="9224" width="1.5" style="119" customWidth="1"/>
    <col min="9225" max="9225" width="2" style="119" customWidth="1"/>
    <col min="9226" max="9226" width="0.875" style="119" customWidth="1"/>
    <col min="9227" max="9227" width="6" style="119" customWidth="1"/>
    <col min="9228" max="9228" width="1.75" style="119" customWidth="1"/>
    <col min="9229" max="9229" width="5.75" style="119" customWidth="1"/>
    <col min="9230" max="9230" width="2.125" style="119" customWidth="1"/>
    <col min="9231" max="9231" width="15.75" style="119" customWidth="1"/>
    <col min="9232" max="9232" width="8.75" style="119"/>
    <col min="9233" max="9233" width="15.875" style="119" bestFit="1" customWidth="1"/>
    <col min="9234" max="9471" width="8.75" style="119"/>
    <col min="9472" max="9472" width="14.5" style="119" bestFit="1" customWidth="1"/>
    <col min="9473" max="9473" width="11.375" style="119" customWidth="1"/>
    <col min="9474" max="9475" width="16.125" style="119" customWidth="1"/>
    <col min="9476" max="9476" width="12.125" style="119" bestFit="1" customWidth="1"/>
    <col min="9477" max="9477" width="13.375" style="119" bestFit="1" customWidth="1"/>
    <col min="9478" max="9478" width="37.75" style="119" customWidth="1"/>
    <col min="9479" max="9479" width="11" style="119" customWidth="1"/>
    <col min="9480" max="9480" width="1.5" style="119" customWidth="1"/>
    <col min="9481" max="9481" width="2" style="119" customWidth="1"/>
    <col min="9482" max="9482" width="0.875" style="119" customWidth="1"/>
    <col min="9483" max="9483" width="6" style="119" customWidth="1"/>
    <col min="9484" max="9484" width="1.75" style="119" customWidth="1"/>
    <col min="9485" max="9485" width="5.75" style="119" customWidth="1"/>
    <col min="9486" max="9486" width="2.125" style="119" customWidth="1"/>
    <col min="9487" max="9487" width="15.75" style="119" customWidth="1"/>
    <col min="9488" max="9488" width="8.75" style="119"/>
    <col min="9489" max="9489" width="15.875" style="119" bestFit="1" customWidth="1"/>
    <col min="9490" max="9727" width="8.75" style="119"/>
    <col min="9728" max="9728" width="14.5" style="119" bestFit="1" customWidth="1"/>
    <col min="9729" max="9729" width="11.375" style="119" customWidth="1"/>
    <col min="9730" max="9731" width="16.125" style="119" customWidth="1"/>
    <col min="9732" max="9732" width="12.125" style="119" bestFit="1" customWidth="1"/>
    <col min="9733" max="9733" width="13.375" style="119" bestFit="1" customWidth="1"/>
    <col min="9734" max="9734" width="37.75" style="119" customWidth="1"/>
    <col min="9735" max="9735" width="11" style="119" customWidth="1"/>
    <col min="9736" max="9736" width="1.5" style="119" customWidth="1"/>
    <col min="9737" max="9737" width="2" style="119" customWidth="1"/>
    <col min="9738" max="9738" width="0.875" style="119" customWidth="1"/>
    <col min="9739" max="9739" width="6" style="119" customWidth="1"/>
    <col min="9740" max="9740" width="1.75" style="119" customWidth="1"/>
    <col min="9741" max="9741" width="5.75" style="119" customWidth="1"/>
    <col min="9742" max="9742" width="2.125" style="119" customWidth="1"/>
    <col min="9743" max="9743" width="15.75" style="119" customWidth="1"/>
    <col min="9744" max="9744" width="8.75" style="119"/>
    <col min="9745" max="9745" width="15.875" style="119" bestFit="1" customWidth="1"/>
    <col min="9746" max="9983" width="8.75" style="119"/>
    <col min="9984" max="9984" width="14.5" style="119" bestFit="1" customWidth="1"/>
    <col min="9985" max="9985" width="11.375" style="119" customWidth="1"/>
    <col min="9986" max="9987" width="16.125" style="119" customWidth="1"/>
    <col min="9988" max="9988" width="12.125" style="119" bestFit="1" customWidth="1"/>
    <col min="9989" max="9989" width="13.375" style="119" bestFit="1" customWidth="1"/>
    <col min="9990" max="9990" width="37.75" style="119" customWidth="1"/>
    <col min="9991" max="9991" width="11" style="119" customWidth="1"/>
    <col min="9992" max="9992" width="1.5" style="119" customWidth="1"/>
    <col min="9993" max="9993" width="2" style="119" customWidth="1"/>
    <col min="9994" max="9994" width="0.875" style="119" customWidth="1"/>
    <col min="9995" max="9995" width="6" style="119" customWidth="1"/>
    <col min="9996" max="9996" width="1.75" style="119" customWidth="1"/>
    <col min="9997" max="9997" width="5.75" style="119" customWidth="1"/>
    <col min="9998" max="9998" width="2.125" style="119" customWidth="1"/>
    <col min="9999" max="9999" width="15.75" style="119" customWidth="1"/>
    <col min="10000" max="10000" width="8.75" style="119"/>
    <col min="10001" max="10001" width="15.875" style="119" bestFit="1" customWidth="1"/>
    <col min="10002" max="10239" width="8.75" style="119"/>
    <col min="10240" max="10240" width="14.5" style="119" bestFit="1" customWidth="1"/>
    <col min="10241" max="10241" width="11.375" style="119" customWidth="1"/>
    <col min="10242" max="10243" width="16.125" style="119" customWidth="1"/>
    <col min="10244" max="10244" width="12.125" style="119" bestFit="1" customWidth="1"/>
    <col min="10245" max="10245" width="13.375" style="119" bestFit="1" customWidth="1"/>
    <col min="10246" max="10246" width="37.75" style="119" customWidth="1"/>
    <col min="10247" max="10247" width="11" style="119" customWidth="1"/>
    <col min="10248" max="10248" width="1.5" style="119" customWidth="1"/>
    <col min="10249" max="10249" width="2" style="119" customWidth="1"/>
    <col min="10250" max="10250" width="0.875" style="119" customWidth="1"/>
    <col min="10251" max="10251" width="6" style="119" customWidth="1"/>
    <col min="10252" max="10252" width="1.75" style="119" customWidth="1"/>
    <col min="10253" max="10253" width="5.75" style="119" customWidth="1"/>
    <col min="10254" max="10254" width="2.125" style="119" customWidth="1"/>
    <col min="10255" max="10255" width="15.75" style="119" customWidth="1"/>
    <col min="10256" max="10256" width="8.75" style="119"/>
    <col min="10257" max="10257" width="15.875" style="119" bestFit="1" customWidth="1"/>
    <col min="10258" max="10495" width="8.75" style="119"/>
    <col min="10496" max="10496" width="14.5" style="119" bestFit="1" customWidth="1"/>
    <col min="10497" max="10497" width="11.375" style="119" customWidth="1"/>
    <col min="10498" max="10499" width="16.125" style="119" customWidth="1"/>
    <col min="10500" max="10500" width="12.125" style="119" bestFit="1" customWidth="1"/>
    <col min="10501" max="10501" width="13.375" style="119" bestFit="1" customWidth="1"/>
    <col min="10502" max="10502" width="37.75" style="119" customWidth="1"/>
    <col min="10503" max="10503" width="11" style="119" customWidth="1"/>
    <col min="10504" max="10504" width="1.5" style="119" customWidth="1"/>
    <col min="10505" max="10505" width="2" style="119" customWidth="1"/>
    <col min="10506" max="10506" width="0.875" style="119" customWidth="1"/>
    <col min="10507" max="10507" width="6" style="119" customWidth="1"/>
    <col min="10508" max="10508" width="1.75" style="119" customWidth="1"/>
    <col min="10509" max="10509" width="5.75" style="119" customWidth="1"/>
    <col min="10510" max="10510" width="2.125" style="119" customWidth="1"/>
    <col min="10511" max="10511" width="15.75" style="119" customWidth="1"/>
    <col min="10512" max="10512" width="8.75" style="119"/>
    <col min="10513" max="10513" width="15.875" style="119" bestFit="1" customWidth="1"/>
    <col min="10514" max="10751" width="8.75" style="119"/>
    <col min="10752" max="10752" width="14.5" style="119" bestFit="1" customWidth="1"/>
    <col min="10753" max="10753" width="11.375" style="119" customWidth="1"/>
    <col min="10754" max="10755" width="16.125" style="119" customWidth="1"/>
    <col min="10756" max="10756" width="12.125" style="119" bestFit="1" customWidth="1"/>
    <col min="10757" max="10757" width="13.375" style="119" bestFit="1" customWidth="1"/>
    <col min="10758" max="10758" width="37.75" style="119" customWidth="1"/>
    <col min="10759" max="10759" width="11" style="119" customWidth="1"/>
    <col min="10760" max="10760" width="1.5" style="119" customWidth="1"/>
    <col min="10761" max="10761" width="2" style="119" customWidth="1"/>
    <col min="10762" max="10762" width="0.875" style="119" customWidth="1"/>
    <col min="10763" max="10763" width="6" style="119" customWidth="1"/>
    <col min="10764" max="10764" width="1.75" style="119" customWidth="1"/>
    <col min="10765" max="10765" width="5.75" style="119" customWidth="1"/>
    <col min="10766" max="10766" width="2.125" style="119" customWidth="1"/>
    <col min="10767" max="10767" width="15.75" style="119" customWidth="1"/>
    <col min="10768" max="10768" width="8.75" style="119"/>
    <col min="10769" max="10769" width="15.875" style="119" bestFit="1" customWidth="1"/>
    <col min="10770" max="11007" width="8.75" style="119"/>
    <col min="11008" max="11008" width="14.5" style="119" bestFit="1" customWidth="1"/>
    <col min="11009" max="11009" width="11.375" style="119" customWidth="1"/>
    <col min="11010" max="11011" width="16.125" style="119" customWidth="1"/>
    <col min="11012" max="11012" width="12.125" style="119" bestFit="1" customWidth="1"/>
    <col min="11013" max="11013" width="13.375" style="119" bestFit="1" customWidth="1"/>
    <col min="11014" max="11014" width="37.75" style="119" customWidth="1"/>
    <col min="11015" max="11015" width="11" style="119" customWidth="1"/>
    <col min="11016" max="11016" width="1.5" style="119" customWidth="1"/>
    <col min="11017" max="11017" width="2" style="119" customWidth="1"/>
    <col min="11018" max="11018" width="0.875" style="119" customWidth="1"/>
    <col min="11019" max="11019" width="6" style="119" customWidth="1"/>
    <col min="11020" max="11020" width="1.75" style="119" customWidth="1"/>
    <col min="11021" max="11021" width="5.75" style="119" customWidth="1"/>
    <col min="11022" max="11022" width="2.125" style="119" customWidth="1"/>
    <col min="11023" max="11023" width="15.75" style="119" customWidth="1"/>
    <col min="11024" max="11024" width="8.75" style="119"/>
    <col min="11025" max="11025" width="15.875" style="119" bestFit="1" customWidth="1"/>
    <col min="11026" max="11263" width="8.75" style="119"/>
    <col min="11264" max="11264" width="14.5" style="119" bestFit="1" customWidth="1"/>
    <col min="11265" max="11265" width="11.375" style="119" customWidth="1"/>
    <col min="11266" max="11267" width="16.125" style="119" customWidth="1"/>
    <col min="11268" max="11268" width="12.125" style="119" bestFit="1" customWidth="1"/>
    <col min="11269" max="11269" width="13.375" style="119" bestFit="1" customWidth="1"/>
    <col min="11270" max="11270" width="37.75" style="119" customWidth="1"/>
    <col min="11271" max="11271" width="11" style="119" customWidth="1"/>
    <col min="11272" max="11272" width="1.5" style="119" customWidth="1"/>
    <col min="11273" max="11273" width="2" style="119" customWidth="1"/>
    <col min="11274" max="11274" width="0.875" style="119" customWidth="1"/>
    <col min="11275" max="11275" width="6" style="119" customWidth="1"/>
    <col min="11276" max="11276" width="1.75" style="119" customWidth="1"/>
    <col min="11277" max="11277" width="5.75" style="119" customWidth="1"/>
    <col min="11278" max="11278" width="2.125" style="119" customWidth="1"/>
    <col min="11279" max="11279" width="15.75" style="119" customWidth="1"/>
    <col min="11280" max="11280" width="8.75" style="119"/>
    <col min="11281" max="11281" width="15.875" style="119" bestFit="1" customWidth="1"/>
    <col min="11282" max="11519" width="8.75" style="119"/>
    <col min="11520" max="11520" width="14.5" style="119" bestFit="1" customWidth="1"/>
    <col min="11521" max="11521" width="11.375" style="119" customWidth="1"/>
    <col min="11522" max="11523" width="16.125" style="119" customWidth="1"/>
    <col min="11524" max="11524" width="12.125" style="119" bestFit="1" customWidth="1"/>
    <col min="11525" max="11525" width="13.375" style="119" bestFit="1" customWidth="1"/>
    <col min="11526" max="11526" width="37.75" style="119" customWidth="1"/>
    <col min="11527" max="11527" width="11" style="119" customWidth="1"/>
    <col min="11528" max="11528" width="1.5" style="119" customWidth="1"/>
    <col min="11529" max="11529" width="2" style="119" customWidth="1"/>
    <col min="11530" max="11530" width="0.875" style="119" customWidth="1"/>
    <col min="11531" max="11531" width="6" style="119" customWidth="1"/>
    <col min="11532" max="11532" width="1.75" style="119" customWidth="1"/>
    <col min="11533" max="11533" width="5.75" style="119" customWidth="1"/>
    <col min="11534" max="11534" width="2.125" style="119" customWidth="1"/>
    <col min="11535" max="11535" width="15.75" style="119" customWidth="1"/>
    <col min="11536" max="11536" width="8.75" style="119"/>
    <col min="11537" max="11537" width="15.875" style="119" bestFit="1" customWidth="1"/>
    <col min="11538" max="11775" width="8.75" style="119"/>
    <col min="11776" max="11776" width="14.5" style="119" bestFit="1" customWidth="1"/>
    <col min="11777" max="11777" width="11.375" style="119" customWidth="1"/>
    <col min="11778" max="11779" width="16.125" style="119" customWidth="1"/>
    <col min="11780" max="11780" width="12.125" style="119" bestFit="1" customWidth="1"/>
    <col min="11781" max="11781" width="13.375" style="119" bestFit="1" customWidth="1"/>
    <col min="11782" max="11782" width="37.75" style="119" customWidth="1"/>
    <col min="11783" max="11783" width="11" style="119" customWidth="1"/>
    <col min="11784" max="11784" width="1.5" style="119" customWidth="1"/>
    <col min="11785" max="11785" width="2" style="119" customWidth="1"/>
    <col min="11786" max="11786" width="0.875" style="119" customWidth="1"/>
    <col min="11787" max="11787" width="6" style="119" customWidth="1"/>
    <col min="11788" max="11788" width="1.75" style="119" customWidth="1"/>
    <col min="11789" max="11789" width="5.75" style="119" customWidth="1"/>
    <col min="11790" max="11790" width="2.125" style="119" customWidth="1"/>
    <col min="11791" max="11791" width="15.75" style="119" customWidth="1"/>
    <col min="11792" max="11792" width="8.75" style="119"/>
    <col min="11793" max="11793" width="15.875" style="119" bestFit="1" customWidth="1"/>
    <col min="11794" max="12031" width="8.75" style="119"/>
    <col min="12032" max="12032" width="14.5" style="119" bestFit="1" customWidth="1"/>
    <col min="12033" max="12033" width="11.375" style="119" customWidth="1"/>
    <col min="12034" max="12035" width="16.125" style="119" customWidth="1"/>
    <col min="12036" max="12036" width="12.125" style="119" bestFit="1" customWidth="1"/>
    <col min="12037" max="12037" width="13.375" style="119" bestFit="1" customWidth="1"/>
    <col min="12038" max="12038" width="37.75" style="119" customWidth="1"/>
    <col min="12039" max="12039" width="11" style="119" customWidth="1"/>
    <col min="12040" max="12040" width="1.5" style="119" customWidth="1"/>
    <col min="12041" max="12041" width="2" style="119" customWidth="1"/>
    <col min="12042" max="12042" width="0.875" style="119" customWidth="1"/>
    <col min="12043" max="12043" width="6" style="119" customWidth="1"/>
    <col min="12044" max="12044" width="1.75" style="119" customWidth="1"/>
    <col min="12045" max="12045" width="5.75" style="119" customWidth="1"/>
    <col min="12046" max="12046" width="2.125" style="119" customWidth="1"/>
    <col min="12047" max="12047" width="15.75" style="119" customWidth="1"/>
    <col min="12048" max="12048" width="8.75" style="119"/>
    <col min="12049" max="12049" width="15.875" style="119" bestFit="1" customWidth="1"/>
    <col min="12050" max="12287" width="8.75" style="119"/>
    <col min="12288" max="12288" width="14.5" style="119" bestFit="1" customWidth="1"/>
    <col min="12289" max="12289" width="11.375" style="119" customWidth="1"/>
    <col min="12290" max="12291" width="16.125" style="119" customWidth="1"/>
    <col min="12292" max="12292" width="12.125" style="119" bestFit="1" customWidth="1"/>
    <col min="12293" max="12293" width="13.375" style="119" bestFit="1" customWidth="1"/>
    <col min="12294" max="12294" width="37.75" style="119" customWidth="1"/>
    <col min="12295" max="12295" width="11" style="119" customWidth="1"/>
    <col min="12296" max="12296" width="1.5" style="119" customWidth="1"/>
    <col min="12297" max="12297" width="2" style="119" customWidth="1"/>
    <col min="12298" max="12298" width="0.875" style="119" customWidth="1"/>
    <col min="12299" max="12299" width="6" style="119" customWidth="1"/>
    <col min="12300" max="12300" width="1.75" style="119" customWidth="1"/>
    <col min="12301" max="12301" width="5.75" style="119" customWidth="1"/>
    <col min="12302" max="12302" width="2.125" style="119" customWidth="1"/>
    <col min="12303" max="12303" width="15.75" style="119" customWidth="1"/>
    <col min="12304" max="12304" width="8.75" style="119"/>
    <col min="12305" max="12305" width="15.875" style="119" bestFit="1" customWidth="1"/>
    <col min="12306" max="12543" width="8.75" style="119"/>
    <col min="12544" max="12544" width="14.5" style="119" bestFit="1" customWidth="1"/>
    <col min="12545" max="12545" width="11.375" style="119" customWidth="1"/>
    <col min="12546" max="12547" width="16.125" style="119" customWidth="1"/>
    <col min="12548" max="12548" width="12.125" style="119" bestFit="1" customWidth="1"/>
    <col min="12549" max="12549" width="13.375" style="119" bestFit="1" customWidth="1"/>
    <col min="12550" max="12550" width="37.75" style="119" customWidth="1"/>
    <col min="12551" max="12551" width="11" style="119" customWidth="1"/>
    <col min="12552" max="12552" width="1.5" style="119" customWidth="1"/>
    <col min="12553" max="12553" width="2" style="119" customWidth="1"/>
    <col min="12554" max="12554" width="0.875" style="119" customWidth="1"/>
    <col min="12555" max="12555" width="6" style="119" customWidth="1"/>
    <col min="12556" max="12556" width="1.75" style="119" customWidth="1"/>
    <col min="12557" max="12557" width="5.75" style="119" customWidth="1"/>
    <col min="12558" max="12558" width="2.125" style="119" customWidth="1"/>
    <col min="12559" max="12559" width="15.75" style="119" customWidth="1"/>
    <col min="12560" max="12560" width="8.75" style="119"/>
    <col min="12561" max="12561" width="15.875" style="119" bestFit="1" customWidth="1"/>
    <col min="12562" max="12799" width="8.75" style="119"/>
    <col min="12800" max="12800" width="14.5" style="119" bestFit="1" customWidth="1"/>
    <col min="12801" max="12801" width="11.375" style="119" customWidth="1"/>
    <col min="12802" max="12803" width="16.125" style="119" customWidth="1"/>
    <col min="12804" max="12804" width="12.125" style="119" bestFit="1" customWidth="1"/>
    <col min="12805" max="12805" width="13.375" style="119" bestFit="1" customWidth="1"/>
    <col min="12806" max="12806" width="37.75" style="119" customWidth="1"/>
    <col min="12807" max="12807" width="11" style="119" customWidth="1"/>
    <col min="12808" max="12808" width="1.5" style="119" customWidth="1"/>
    <col min="12809" max="12809" width="2" style="119" customWidth="1"/>
    <col min="12810" max="12810" width="0.875" style="119" customWidth="1"/>
    <col min="12811" max="12811" width="6" style="119" customWidth="1"/>
    <col min="12812" max="12812" width="1.75" style="119" customWidth="1"/>
    <col min="12813" max="12813" width="5.75" style="119" customWidth="1"/>
    <col min="12814" max="12814" width="2.125" style="119" customWidth="1"/>
    <col min="12815" max="12815" width="15.75" style="119" customWidth="1"/>
    <col min="12816" max="12816" width="8.75" style="119"/>
    <col min="12817" max="12817" width="15.875" style="119" bestFit="1" customWidth="1"/>
    <col min="12818" max="13055" width="8.75" style="119"/>
    <col min="13056" max="13056" width="14.5" style="119" bestFit="1" customWidth="1"/>
    <col min="13057" max="13057" width="11.375" style="119" customWidth="1"/>
    <col min="13058" max="13059" width="16.125" style="119" customWidth="1"/>
    <col min="13060" max="13060" width="12.125" style="119" bestFit="1" customWidth="1"/>
    <col min="13061" max="13061" width="13.375" style="119" bestFit="1" customWidth="1"/>
    <col min="13062" max="13062" width="37.75" style="119" customWidth="1"/>
    <col min="13063" max="13063" width="11" style="119" customWidth="1"/>
    <col min="13064" max="13064" width="1.5" style="119" customWidth="1"/>
    <col min="13065" max="13065" width="2" style="119" customWidth="1"/>
    <col min="13066" max="13066" width="0.875" style="119" customWidth="1"/>
    <col min="13067" max="13067" width="6" style="119" customWidth="1"/>
    <col min="13068" max="13068" width="1.75" style="119" customWidth="1"/>
    <col min="13069" max="13069" width="5.75" style="119" customWidth="1"/>
    <col min="13070" max="13070" width="2.125" style="119" customWidth="1"/>
    <col min="13071" max="13071" width="15.75" style="119" customWidth="1"/>
    <col min="13072" max="13072" width="8.75" style="119"/>
    <col min="13073" max="13073" width="15.875" style="119" bestFit="1" customWidth="1"/>
    <col min="13074" max="13311" width="8.75" style="119"/>
    <col min="13312" max="13312" width="14.5" style="119" bestFit="1" customWidth="1"/>
    <col min="13313" max="13313" width="11.375" style="119" customWidth="1"/>
    <col min="13314" max="13315" width="16.125" style="119" customWidth="1"/>
    <col min="13316" max="13316" width="12.125" style="119" bestFit="1" customWidth="1"/>
    <col min="13317" max="13317" width="13.375" style="119" bestFit="1" customWidth="1"/>
    <col min="13318" max="13318" width="37.75" style="119" customWidth="1"/>
    <col min="13319" max="13319" width="11" style="119" customWidth="1"/>
    <col min="13320" max="13320" width="1.5" style="119" customWidth="1"/>
    <col min="13321" max="13321" width="2" style="119" customWidth="1"/>
    <col min="13322" max="13322" width="0.875" style="119" customWidth="1"/>
    <col min="13323" max="13323" width="6" style="119" customWidth="1"/>
    <col min="13324" max="13324" width="1.75" style="119" customWidth="1"/>
    <col min="13325" max="13325" width="5.75" style="119" customWidth="1"/>
    <col min="13326" max="13326" width="2.125" style="119" customWidth="1"/>
    <col min="13327" max="13327" width="15.75" style="119" customWidth="1"/>
    <col min="13328" max="13328" width="8.75" style="119"/>
    <col min="13329" max="13329" width="15.875" style="119" bestFit="1" customWidth="1"/>
    <col min="13330" max="13567" width="8.75" style="119"/>
    <col min="13568" max="13568" width="14.5" style="119" bestFit="1" customWidth="1"/>
    <col min="13569" max="13569" width="11.375" style="119" customWidth="1"/>
    <col min="13570" max="13571" width="16.125" style="119" customWidth="1"/>
    <col min="13572" max="13572" width="12.125" style="119" bestFit="1" customWidth="1"/>
    <col min="13573" max="13573" width="13.375" style="119" bestFit="1" customWidth="1"/>
    <col min="13574" max="13574" width="37.75" style="119" customWidth="1"/>
    <col min="13575" max="13575" width="11" style="119" customWidth="1"/>
    <col min="13576" max="13576" width="1.5" style="119" customWidth="1"/>
    <col min="13577" max="13577" width="2" style="119" customWidth="1"/>
    <col min="13578" max="13578" width="0.875" style="119" customWidth="1"/>
    <col min="13579" max="13579" width="6" style="119" customWidth="1"/>
    <col min="13580" max="13580" width="1.75" style="119" customWidth="1"/>
    <col min="13581" max="13581" width="5.75" style="119" customWidth="1"/>
    <col min="13582" max="13582" width="2.125" style="119" customWidth="1"/>
    <col min="13583" max="13583" width="15.75" style="119" customWidth="1"/>
    <col min="13584" max="13584" width="8.75" style="119"/>
    <col min="13585" max="13585" width="15.875" style="119" bestFit="1" customWidth="1"/>
    <col min="13586" max="13823" width="8.75" style="119"/>
    <col min="13824" max="13824" width="14.5" style="119" bestFit="1" customWidth="1"/>
    <col min="13825" max="13825" width="11.375" style="119" customWidth="1"/>
    <col min="13826" max="13827" width="16.125" style="119" customWidth="1"/>
    <col min="13828" max="13828" width="12.125" style="119" bestFit="1" customWidth="1"/>
    <col min="13829" max="13829" width="13.375" style="119" bestFit="1" customWidth="1"/>
    <col min="13830" max="13830" width="37.75" style="119" customWidth="1"/>
    <col min="13831" max="13831" width="11" style="119" customWidth="1"/>
    <col min="13832" max="13832" width="1.5" style="119" customWidth="1"/>
    <col min="13833" max="13833" width="2" style="119" customWidth="1"/>
    <col min="13834" max="13834" width="0.875" style="119" customWidth="1"/>
    <col min="13835" max="13835" width="6" style="119" customWidth="1"/>
    <col min="13836" max="13836" width="1.75" style="119" customWidth="1"/>
    <col min="13837" max="13837" width="5.75" style="119" customWidth="1"/>
    <col min="13838" max="13838" width="2.125" style="119" customWidth="1"/>
    <col min="13839" max="13839" width="15.75" style="119" customWidth="1"/>
    <col min="13840" max="13840" width="8.75" style="119"/>
    <col min="13841" max="13841" width="15.875" style="119" bestFit="1" customWidth="1"/>
    <col min="13842" max="14079" width="8.75" style="119"/>
    <col min="14080" max="14080" width="14.5" style="119" bestFit="1" customWidth="1"/>
    <col min="14081" max="14081" width="11.375" style="119" customWidth="1"/>
    <col min="14082" max="14083" width="16.125" style="119" customWidth="1"/>
    <col min="14084" max="14084" width="12.125" style="119" bestFit="1" customWidth="1"/>
    <col min="14085" max="14085" width="13.375" style="119" bestFit="1" customWidth="1"/>
    <col min="14086" max="14086" width="37.75" style="119" customWidth="1"/>
    <col min="14087" max="14087" width="11" style="119" customWidth="1"/>
    <col min="14088" max="14088" width="1.5" style="119" customWidth="1"/>
    <col min="14089" max="14089" width="2" style="119" customWidth="1"/>
    <col min="14090" max="14090" width="0.875" style="119" customWidth="1"/>
    <col min="14091" max="14091" width="6" style="119" customWidth="1"/>
    <col min="14092" max="14092" width="1.75" style="119" customWidth="1"/>
    <col min="14093" max="14093" width="5.75" style="119" customWidth="1"/>
    <col min="14094" max="14094" width="2.125" style="119" customWidth="1"/>
    <col min="14095" max="14095" width="15.75" style="119" customWidth="1"/>
    <col min="14096" max="14096" width="8.75" style="119"/>
    <col min="14097" max="14097" width="15.875" style="119" bestFit="1" customWidth="1"/>
    <col min="14098" max="14335" width="8.75" style="119"/>
    <col min="14336" max="14336" width="14.5" style="119" bestFit="1" customWidth="1"/>
    <col min="14337" max="14337" width="11.375" style="119" customWidth="1"/>
    <col min="14338" max="14339" width="16.125" style="119" customWidth="1"/>
    <col min="14340" max="14340" width="12.125" style="119" bestFit="1" customWidth="1"/>
    <col min="14341" max="14341" width="13.375" style="119" bestFit="1" customWidth="1"/>
    <col min="14342" max="14342" width="37.75" style="119" customWidth="1"/>
    <col min="14343" max="14343" width="11" style="119" customWidth="1"/>
    <col min="14344" max="14344" width="1.5" style="119" customWidth="1"/>
    <col min="14345" max="14345" width="2" style="119" customWidth="1"/>
    <col min="14346" max="14346" width="0.875" style="119" customWidth="1"/>
    <col min="14347" max="14347" width="6" style="119" customWidth="1"/>
    <col min="14348" max="14348" width="1.75" style="119" customWidth="1"/>
    <col min="14349" max="14349" width="5.75" style="119" customWidth="1"/>
    <col min="14350" max="14350" width="2.125" style="119" customWidth="1"/>
    <col min="14351" max="14351" width="15.75" style="119" customWidth="1"/>
    <col min="14352" max="14352" width="8.75" style="119"/>
    <col min="14353" max="14353" width="15.875" style="119" bestFit="1" customWidth="1"/>
    <col min="14354" max="14591" width="8.75" style="119"/>
    <col min="14592" max="14592" width="14.5" style="119" bestFit="1" customWidth="1"/>
    <col min="14593" max="14593" width="11.375" style="119" customWidth="1"/>
    <col min="14594" max="14595" width="16.125" style="119" customWidth="1"/>
    <col min="14596" max="14596" width="12.125" style="119" bestFit="1" customWidth="1"/>
    <col min="14597" max="14597" width="13.375" style="119" bestFit="1" customWidth="1"/>
    <col min="14598" max="14598" width="37.75" style="119" customWidth="1"/>
    <col min="14599" max="14599" width="11" style="119" customWidth="1"/>
    <col min="14600" max="14600" width="1.5" style="119" customWidth="1"/>
    <col min="14601" max="14601" width="2" style="119" customWidth="1"/>
    <col min="14602" max="14602" width="0.875" style="119" customWidth="1"/>
    <col min="14603" max="14603" width="6" style="119" customWidth="1"/>
    <col min="14604" max="14604" width="1.75" style="119" customWidth="1"/>
    <col min="14605" max="14605" width="5.75" style="119" customWidth="1"/>
    <col min="14606" max="14606" width="2.125" style="119" customWidth="1"/>
    <col min="14607" max="14607" width="15.75" style="119" customWidth="1"/>
    <col min="14608" max="14608" width="8.75" style="119"/>
    <col min="14609" max="14609" width="15.875" style="119" bestFit="1" customWidth="1"/>
    <col min="14610" max="14847" width="8.75" style="119"/>
    <col min="14848" max="14848" width="14.5" style="119" bestFit="1" customWidth="1"/>
    <col min="14849" max="14849" width="11.375" style="119" customWidth="1"/>
    <col min="14850" max="14851" width="16.125" style="119" customWidth="1"/>
    <col min="14852" max="14852" width="12.125" style="119" bestFit="1" customWidth="1"/>
    <col min="14853" max="14853" width="13.375" style="119" bestFit="1" customWidth="1"/>
    <col min="14854" max="14854" width="37.75" style="119" customWidth="1"/>
    <col min="14855" max="14855" width="11" style="119" customWidth="1"/>
    <col min="14856" max="14856" width="1.5" style="119" customWidth="1"/>
    <col min="14857" max="14857" width="2" style="119" customWidth="1"/>
    <col min="14858" max="14858" width="0.875" style="119" customWidth="1"/>
    <col min="14859" max="14859" width="6" style="119" customWidth="1"/>
    <col min="14860" max="14860" width="1.75" style="119" customWidth="1"/>
    <col min="14861" max="14861" width="5.75" style="119" customWidth="1"/>
    <col min="14862" max="14862" width="2.125" style="119" customWidth="1"/>
    <col min="14863" max="14863" width="15.75" style="119" customWidth="1"/>
    <col min="14864" max="14864" width="8.75" style="119"/>
    <col min="14865" max="14865" width="15.875" style="119" bestFit="1" customWidth="1"/>
    <col min="14866" max="15103" width="8.75" style="119"/>
    <col min="15104" max="15104" width="14.5" style="119" bestFit="1" customWidth="1"/>
    <col min="15105" max="15105" width="11.375" style="119" customWidth="1"/>
    <col min="15106" max="15107" width="16.125" style="119" customWidth="1"/>
    <col min="15108" max="15108" width="12.125" style="119" bestFit="1" customWidth="1"/>
    <col min="15109" max="15109" width="13.375" style="119" bestFit="1" customWidth="1"/>
    <col min="15110" max="15110" width="37.75" style="119" customWidth="1"/>
    <col min="15111" max="15111" width="11" style="119" customWidth="1"/>
    <col min="15112" max="15112" width="1.5" style="119" customWidth="1"/>
    <col min="15113" max="15113" width="2" style="119" customWidth="1"/>
    <col min="15114" max="15114" width="0.875" style="119" customWidth="1"/>
    <col min="15115" max="15115" width="6" style="119" customWidth="1"/>
    <col min="15116" max="15116" width="1.75" style="119" customWidth="1"/>
    <col min="15117" max="15117" width="5.75" style="119" customWidth="1"/>
    <col min="15118" max="15118" width="2.125" style="119" customWidth="1"/>
    <col min="15119" max="15119" width="15.75" style="119" customWidth="1"/>
    <col min="15120" max="15120" width="8.75" style="119"/>
    <col min="15121" max="15121" width="15.875" style="119" bestFit="1" customWidth="1"/>
    <col min="15122" max="15359" width="8.75" style="119"/>
    <col min="15360" max="15360" width="14.5" style="119" bestFit="1" customWidth="1"/>
    <col min="15361" max="15361" width="11.375" style="119" customWidth="1"/>
    <col min="15362" max="15363" width="16.125" style="119" customWidth="1"/>
    <col min="15364" max="15364" width="12.125" style="119" bestFit="1" customWidth="1"/>
    <col min="15365" max="15365" width="13.375" style="119" bestFit="1" customWidth="1"/>
    <col min="15366" max="15366" width="37.75" style="119" customWidth="1"/>
    <col min="15367" max="15367" width="11" style="119" customWidth="1"/>
    <col min="15368" max="15368" width="1.5" style="119" customWidth="1"/>
    <col min="15369" max="15369" width="2" style="119" customWidth="1"/>
    <col min="15370" max="15370" width="0.875" style="119" customWidth="1"/>
    <col min="15371" max="15371" width="6" style="119" customWidth="1"/>
    <col min="15372" max="15372" width="1.75" style="119" customWidth="1"/>
    <col min="15373" max="15373" width="5.75" style="119" customWidth="1"/>
    <col min="15374" max="15374" width="2.125" style="119" customWidth="1"/>
    <col min="15375" max="15375" width="15.75" style="119" customWidth="1"/>
    <col min="15376" max="15376" width="8.75" style="119"/>
    <col min="15377" max="15377" width="15.875" style="119" bestFit="1" customWidth="1"/>
    <col min="15378" max="15615" width="8.75" style="119"/>
    <col min="15616" max="15616" width="14.5" style="119" bestFit="1" customWidth="1"/>
    <col min="15617" max="15617" width="11.375" style="119" customWidth="1"/>
    <col min="15618" max="15619" width="16.125" style="119" customWidth="1"/>
    <col min="15620" max="15620" width="12.125" style="119" bestFit="1" customWidth="1"/>
    <col min="15621" max="15621" width="13.375" style="119" bestFit="1" customWidth="1"/>
    <col min="15622" max="15622" width="37.75" style="119" customWidth="1"/>
    <col min="15623" max="15623" width="11" style="119" customWidth="1"/>
    <col min="15624" max="15624" width="1.5" style="119" customWidth="1"/>
    <col min="15625" max="15625" width="2" style="119" customWidth="1"/>
    <col min="15626" max="15626" width="0.875" style="119" customWidth="1"/>
    <col min="15627" max="15627" width="6" style="119" customWidth="1"/>
    <col min="15628" max="15628" width="1.75" style="119" customWidth="1"/>
    <col min="15629" max="15629" width="5.75" style="119" customWidth="1"/>
    <col min="15630" max="15630" width="2.125" style="119" customWidth="1"/>
    <col min="15631" max="15631" width="15.75" style="119" customWidth="1"/>
    <col min="15632" max="15632" width="8.75" style="119"/>
    <col min="15633" max="15633" width="15.875" style="119" bestFit="1" customWidth="1"/>
    <col min="15634" max="15871" width="8.75" style="119"/>
    <col min="15872" max="15872" width="14.5" style="119" bestFit="1" customWidth="1"/>
    <col min="15873" max="15873" width="11.375" style="119" customWidth="1"/>
    <col min="15874" max="15875" width="16.125" style="119" customWidth="1"/>
    <col min="15876" max="15876" width="12.125" style="119" bestFit="1" customWidth="1"/>
    <col min="15877" max="15877" width="13.375" style="119" bestFit="1" customWidth="1"/>
    <col min="15878" max="15878" width="37.75" style="119" customWidth="1"/>
    <col min="15879" max="15879" width="11" style="119" customWidth="1"/>
    <col min="15880" max="15880" width="1.5" style="119" customWidth="1"/>
    <col min="15881" max="15881" width="2" style="119" customWidth="1"/>
    <col min="15882" max="15882" width="0.875" style="119" customWidth="1"/>
    <col min="15883" max="15883" width="6" style="119" customWidth="1"/>
    <col min="15884" max="15884" width="1.75" style="119" customWidth="1"/>
    <col min="15885" max="15885" width="5.75" style="119" customWidth="1"/>
    <col min="15886" max="15886" width="2.125" style="119" customWidth="1"/>
    <col min="15887" max="15887" width="15.75" style="119" customWidth="1"/>
    <col min="15888" max="15888" width="8.75" style="119"/>
    <col min="15889" max="15889" width="15.875" style="119" bestFit="1" customWidth="1"/>
    <col min="15890" max="16127" width="8.75" style="119"/>
    <col min="16128" max="16128" width="14.5" style="119" bestFit="1" customWidth="1"/>
    <col min="16129" max="16129" width="11.375" style="119" customWidth="1"/>
    <col min="16130" max="16131" width="16.125" style="119" customWidth="1"/>
    <col min="16132" max="16132" width="12.125" style="119" bestFit="1" customWidth="1"/>
    <col min="16133" max="16133" width="13.375" style="119" bestFit="1" customWidth="1"/>
    <col min="16134" max="16134" width="37.75" style="119" customWidth="1"/>
    <col min="16135" max="16135" width="11" style="119" customWidth="1"/>
    <col min="16136" max="16136" width="1.5" style="119" customWidth="1"/>
    <col min="16137" max="16137" width="2" style="119" customWidth="1"/>
    <col min="16138" max="16138" width="0.875" style="119" customWidth="1"/>
    <col min="16139" max="16139" width="6" style="119" customWidth="1"/>
    <col min="16140" max="16140" width="1.75" style="119" customWidth="1"/>
    <col min="16141" max="16141" width="5.75" style="119" customWidth="1"/>
    <col min="16142" max="16142" width="2.125" style="119" customWidth="1"/>
    <col min="16143" max="16143" width="15.75" style="119" customWidth="1"/>
    <col min="16144" max="16144" width="8.75" style="119"/>
    <col min="16145" max="16145" width="15.875" style="119" bestFit="1" customWidth="1"/>
    <col min="16146" max="16381" width="8.75" style="119"/>
    <col min="16382" max="16384" width="9" style="119" customWidth="1"/>
  </cols>
  <sheetData>
    <row r="1" spans="1:21" ht="35.1" customHeight="1">
      <c r="A1" s="1611" t="s">
        <v>289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</row>
    <row r="2" spans="1:21" s="1396" customFormat="1" ht="15" customHeight="1" thickBot="1">
      <c r="A2" s="1319" t="s">
        <v>245</v>
      </c>
      <c r="B2" s="1319"/>
      <c r="C2" s="1317"/>
      <c r="D2" s="1312"/>
      <c r="E2" s="1318"/>
      <c r="F2" s="1312"/>
      <c r="G2" s="1317"/>
      <c r="H2" s="1316"/>
      <c r="I2" s="1314"/>
      <c r="J2" s="1315"/>
      <c r="K2" s="1314"/>
      <c r="L2" s="1314"/>
      <c r="M2" s="1313"/>
      <c r="N2" s="1312"/>
      <c r="O2" s="1312"/>
      <c r="P2" s="1311" t="s">
        <v>75</v>
      </c>
      <c r="Q2" s="1310"/>
    </row>
    <row r="3" spans="1:21" ht="15" customHeight="1">
      <c r="A3" s="1630" t="s">
        <v>192</v>
      </c>
      <c r="B3" s="1631"/>
      <c r="C3" s="1632"/>
      <c r="D3" s="1537" t="s">
        <v>297</v>
      </c>
      <c r="E3" s="1539" t="s">
        <v>299</v>
      </c>
      <c r="F3" s="1597" t="s">
        <v>293</v>
      </c>
      <c r="G3" s="1633" t="s">
        <v>225</v>
      </c>
      <c r="H3" s="1634"/>
      <c r="I3" s="1634"/>
      <c r="J3" s="1634"/>
      <c r="K3" s="1634"/>
      <c r="L3" s="1634"/>
      <c r="M3" s="1634"/>
      <c r="N3" s="1634"/>
      <c r="O3" s="1634"/>
      <c r="P3" s="1635"/>
    </row>
    <row r="4" spans="1:21" ht="15" customHeight="1" thickBot="1">
      <c r="A4" s="1065" t="s">
        <v>0</v>
      </c>
      <c r="B4" s="1066" t="s">
        <v>2</v>
      </c>
      <c r="C4" s="1066" t="s">
        <v>1</v>
      </c>
      <c r="D4" s="1538"/>
      <c r="E4" s="1540"/>
      <c r="F4" s="1598"/>
      <c r="G4" s="1636"/>
      <c r="H4" s="1637"/>
      <c r="I4" s="1637"/>
      <c r="J4" s="1637"/>
      <c r="K4" s="1637"/>
      <c r="L4" s="1637"/>
      <c r="M4" s="1637"/>
      <c r="N4" s="1637"/>
      <c r="O4" s="1637"/>
      <c r="P4" s="1638"/>
    </row>
    <row r="5" spans="1:21" s="1025" customFormat="1" ht="15" customHeight="1">
      <c r="A5" s="1626" t="s">
        <v>194</v>
      </c>
      <c r="B5" s="1627"/>
      <c r="C5" s="1627"/>
      <c r="D5" s="1067">
        <f>SUM(D6,D12,D48)</f>
        <v>525509000</v>
      </c>
      <c r="E5" s="1067">
        <f>SUM(E6,E12,E48)</f>
        <v>584015480</v>
      </c>
      <c r="F5" s="1219">
        <f>E5-D5</f>
        <v>58506480</v>
      </c>
      <c r="G5" s="146"/>
      <c r="H5" s="1068"/>
      <c r="I5" s="1068"/>
      <c r="J5" s="1069"/>
      <c r="K5" s="1069"/>
      <c r="L5" s="1070"/>
      <c r="M5" s="1069"/>
      <c r="N5" s="1071"/>
      <c r="O5" s="1072"/>
      <c r="P5" s="1073"/>
      <c r="Q5" s="1074"/>
      <c r="R5" s="1074"/>
      <c r="S5" s="1074"/>
      <c r="U5" s="1273"/>
    </row>
    <row r="6" spans="1:21" s="1025" customFormat="1" ht="15" customHeight="1">
      <c r="A6" s="1075" t="s">
        <v>185</v>
      </c>
      <c r="B6" s="1628" t="s">
        <v>193</v>
      </c>
      <c r="C6" s="1629"/>
      <c r="D6" s="1091">
        <f>SUM(D7)</f>
        <v>0</v>
      </c>
      <c r="E6" s="1091">
        <f>SUM(E7)</f>
        <v>0</v>
      </c>
      <c r="F6" s="985">
        <f>E6-D6</f>
        <v>0</v>
      </c>
      <c r="G6" s="1077"/>
      <c r="H6" s="1078"/>
      <c r="I6" s="1078"/>
      <c r="J6" s="1079"/>
      <c r="K6" s="1079"/>
      <c r="L6" s="1080"/>
      <c r="M6" s="1079"/>
      <c r="N6" s="1081"/>
      <c r="O6" s="1082"/>
      <c r="P6" s="1083"/>
      <c r="Q6" s="1262"/>
      <c r="R6" s="1074"/>
      <c r="S6" s="1074"/>
      <c r="U6" s="1273"/>
    </row>
    <row r="7" spans="1:21" ht="15" customHeight="1">
      <c r="A7" s="137"/>
      <c r="B7" s="1084" t="s">
        <v>205</v>
      </c>
      <c r="C7" s="1085" t="s">
        <v>189</v>
      </c>
      <c r="D7" s="1091">
        <f>SUM(D8,D10)</f>
        <v>0</v>
      </c>
      <c r="E7" s="1091">
        <f>SUM(E8,E10)</f>
        <v>0</v>
      </c>
      <c r="F7" s="986">
        <f>E7-D7</f>
        <v>0</v>
      </c>
      <c r="G7" s="940"/>
      <c r="H7" s="543"/>
      <c r="I7" s="543"/>
      <c r="J7" s="974"/>
      <c r="K7" s="974"/>
      <c r="L7" s="1086"/>
      <c r="M7" s="974"/>
      <c r="N7" s="547"/>
      <c r="O7" s="1087"/>
      <c r="P7" s="1088"/>
      <c r="Q7" s="1074"/>
      <c r="U7" s="1273"/>
    </row>
    <row r="8" spans="1:21" ht="15" customHeight="1">
      <c r="A8" s="137"/>
      <c r="B8" s="1089"/>
      <c r="C8" s="1090" t="s">
        <v>176</v>
      </c>
      <c r="D8" s="1091">
        <v>0</v>
      </c>
      <c r="E8" s="1091">
        <f>SUM(P9)</f>
        <v>0</v>
      </c>
      <c r="F8" s="986">
        <f>E8-D8</f>
        <v>0</v>
      </c>
      <c r="G8" s="150"/>
      <c r="H8" s="592"/>
      <c r="I8" s="592"/>
      <c r="J8" s="153"/>
      <c r="K8" s="153"/>
      <c r="L8" s="154"/>
      <c r="M8" s="153"/>
      <c r="N8" s="600"/>
      <c r="O8" s="155"/>
      <c r="P8" s="1092"/>
      <c r="U8" s="1273"/>
    </row>
    <row r="9" spans="1:21" ht="15" customHeight="1">
      <c r="A9" s="137"/>
      <c r="B9" s="1093"/>
      <c r="C9" s="1090"/>
      <c r="D9" s="1094"/>
      <c r="E9" s="1095"/>
      <c r="F9" s="986"/>
      <c r="G9" s="122" t="s">
        <v>370</v>
      </c>
      <c r="H9" s="123"/>
      <c r="I9" s="123"/>
      <c r="J9" s="124"/>
      <c r="K9" s="124"/>
      <c r="L9" s="125"/>
      <c r="M9" s="544"/>
      <c r="N9" s="126"/>
      <c r="O9" s="547"/>
      <c r="P9" s="127"/>
      <c r="U9" s="1273"/>
    </row>
    <row r="10" spans="1:21" ht="15" customHeight="1">
      <c r="A10" s="137"/>
      <c r="B10" s="1096"/>
      <c r="C10" s="1090" t="s">
        <v>80</v>
      </c>
      <c r="D10" s="1094">
        <v>0</v>
      </c>
      <c r="E10" s="1094">
        <v>0</v>
      </c>
      <c r="F10" s="986">
        <f>E10-D10</f>
        <v>0</v>
      </c>
      <c r="G10" s="122"/>
      <c r="H10" s="123"/>
      <c r="I10" s="123"/>
      <c r="J10" s="124"/>
      <c r="K10" s="124"/>
      <c r="L10" s="125"/>
      <c r="M10" s="544"/>
      <c r="N10" s="126"/>
      <c r="O10" s="547"/>
      <c r="P10" s="127"/>
      <c r="U10" s="1273"/>
    </row>
    <row r="11" spans="1:21" ht="15" customHeight="1">
      <c r="A11" s="137"/>
      <c r="B11" s="1097"/>
      <c r="C11" s="138"/>
      <c r="D11" s="1094"/>
      <c r="E11" s="1098"/>
      <c r="F11" s="1039"/>
      <c r="G11" s="128"/>
      <c r="H11" s="129"/>
      <c r="I11" s="129"/>
      <c r="J11" s="130"/>
      <c r="K11" s="130"/>
      <c r="L11" s="131"/>
      <c r="M11" s="1300"/>
      <c r="N11" s="133"/>
      <c r="O11" s="134"/>
      <c r="P11" s="135"/>
      <c r="U11" s="1273"/>
    </row>
    <row r="12" spans="1:21" s="1025" customFormat="1" ht="15" customHeight="1">
      <c r="A12" s="1075" t="s">
        <v>227</v>
      </c>
      <c r="B12" s="1628" t="s">
        <v>193</v>
      </c>
      <c r="C12" s="1629"/>
      <c r="D12" s="1076">
        <f>SUM(D13)</f>
        <v>525509000</v>
      </c>
      <c r="E12" s="1076">
        <f>SUM(E13)</f>
        <v>584015480</v>
      </c>
      <c r="F12" s="986">
        <f>E12-D12</f>
        <v>58506480</v>
      </c>
      <c r="G12" s="1077"/>
      <c r="H12" s="1078"/>
      <c r="I12" s="1078"/>
      <c r="J12" s="1079"/>
      <c r="K12" s="1079"/>
      <c r="L12" s="1080"/>
      <c r="M12" s="1079"/>
      <c r="N12" s="1081"/>
      <c r="O12" s="1082"/>
      <c r="P12" s="1099"/>
      <c r="Q12" s="1074"/>
      <c r="R12" s="1074"/>
      <c r="S12" s="1074"/>
      <c r="U12" s="1273"/>
    </row>
    <row r="13" spans="1:21" ht="15" customHeight="1">
      <c r="A13" s="136"/>
      <c r="B13" s="1084" t="s">
        <v>221</v>
      </c>
      <c r="C13" s="1085" t="s">
        <v>189</v>
      </c>
      <c r="D13" s="140">
        <f>SUM(D14,D44)</f>
        <v>525509000</v>
      </c>
      <c r="E13" s="140">
        <f>SUM(E14,E44)</f>
        <v>584015480</v>
      </c>
      <c r="F13" s="986">
        <f>E13-D13</f>
        <v>58506480</v>
      </c>
      <c r="G13" s="941"/>
      <c r="H13" s="592"/>
      <c r="I13" s="592"/>
      <c r="J13" s="1279"/>
      <c r="K13" s="1279"/>
      <c r="L13" s="601"/>
      <c r="M13" s="1279"/>
      <c r="N13" s="599"/>
      <c r="O13" s="600"/>
      <c r="P13" s="1100"/>
      <c r="U13" s="1273"/>
    </row>
    <row r="14" spans="1:21" ht="15" customHeight="1">
      <c r="A14" s="137"/>
      <c r="B14" s="138"/>
      <c r="C14" s="139" t="s">
        <v>65</v>
      </c>
      <c r="D14" s="141">
        <v>427801700</v>
      </c>
      <c r="E14" s="140">
        <f>SUM(P15)</f>
        <v>468271700</v>
      </c>
      <c r="F14" s="986">
        <f>E14-D14</f>
        <v>40470000</v>
      </c>
      <c r="G14" s="143"/>
      <c r="H14" s="543"/>
      <c r="I14" s="543"/>
      <c r="J14" s="544"/>
      <c r="K14" s="544"/>
      <c r="L14" s="545"/>
      <c r="M14" s="544"/>
      <c r="N14" s="546"/>
      <c r="O14" s="547"/>
      <c r="P14" s="144"/>
      <c r="U14" s="1273"/>
    </row>
    <row r="15" spans="1:21" ht="15" customHeight="1">
      <c r="A15" s="137"/>
      <c r="B15" s="147"/>
      <c r="C15" s="148"/>
      <c r="D15" s="152"/>
      <c r="E15" s="149"/>
      <c r="F15" s="1220"/>
      <c r="G15" s="146" t="s">
        <v>238</v>
      </c>
      <c r="H15" s="592"/>
      <c r="I15" s="592"/>
      <c r="J15" s="153"/>
      <c r="K15" s="153"/>
      <c r="L15" s="154"/>
      <c r="M15" s="153"/>
      <c r="N15" s="600"/>
      <c r="O15" s="155"/>
      <c r="P15" s="118">
        <f>SUM(P16,P17,P20,P26,P29,P31,P36,P38,P43:P43)</f>
        <v>468271700</v>
      </c>
      <c r="U15" s="1273"/>
    </row>
    <row r="16" spans="1:21" ht="15" customHeight="1">
      <c r="A16" s="137"/>
      <c r="B16" s="147"/>
      <c r="C16" s="156"/>
      <c r="D16" s="158"/>
      <c r="E16" s="157"/>
      <c r="F16" s="1221"/>
      <c r="G16" s="150" t="s">
        <v>359</v>
      </c>
      <c r="H16" s="597">
        <v>250000</v>
      </c>
      <c r="I16" s="592"/>
      <c r="J16" s="1279" t="s">
        <v>29</v>
      </c>
      <c r="K16" s="1279"/>
      <c r="L16" s="598">
        <v>3</v>
      </c>
      <c r="M16" s="1279" t="s">
        <v>29</v>
      </c>
      <c r="N16" s="917">
        <v>8</v>
      </c>
      <c r="O16" s="600" t="s">
        <v>36</v>
      </c>
      <c r="P16" s="927">
        <f>H16*L16*N16</f>
        <v>6000000</v>
      </c>
      <c r="U16" s="1273"/>
    </row>
    <row r="17" spans="1:22">
      <c r="A17" s="137"/>
      <c r="B17" s="147"/>
      <c r="C17" s="156"/>
      <c r="D17" s="158"/>
      <c r="E17" s="157"/>
      <c r="F17" s="1221"/>
      <c r="G17" s="150" t="s">
        <v>360</v>
      </c>
      <c r="H17" s="926"/>
      <c r="I17" s="592"/>
      <c r="J17" s="1279"/>
      <c r="K17" s="1279"/>
      <c r="L17" s="601"/>
      <c r="M17" s="1279"/>
      <c r="N17" s="599"/>
      <c r="O17" s="600"/>
      <c r="P17" s="602">
        <f>SUM(P18:P19)</f>
        <v>43500000</v>
      </c>
      <c r="U17" s="1273"/>
    </row>
    <row r="18" spans="1:22">
      <c r="A18" s="137"/>
      <c r="B18" s="147"/>
      <c r="C18" s="156"/>
      <c r="D18" s="158"/>
      <c r="E18" s="157"/>
      <c r="F18" s="1221"/>
      <c r="G18" s="150" t="s">
        <v>165</v>
      </c>
      <c r="H18" s="926">
        <v>1000000</v>
      </c>
      <c r="I18" s="592"/>
      <c r="J18" s="1279" t="s">
        <v>29</v>
      </c>
      <c r="K18" s="1279"/>
      <c r="L18" s="601">
        <v>40</v>
      </c>
      <c r="M18" s="1279" t="s">
        <v>29</v>
      </c>
      <c r="N18" s="599">
        <v>1</v>
      </c>
      <c r="O18" s="600" t="s">
        <v>36</v>
      </c>
      <c r="P18" s="603">
        <f>H18*L18*N18</f>
        <v>40000000</v>
      </c>
      <c r="U18" s="1273"/>
      <c r="V18" s="582"/>
    </row>
    <row r="19" spans="1:22" ht="15" customHeight="1">
      <c r="A19" s="137"/>
      <c r="B19" s="147"/>
      <c r="C19" s="156"/>
      <c r="D19" s="158"/>
      <c r="E19" s="157"/>
      <c r="F19" s="1221"/>
      <c r="G19" s="150" t="s">
        <v>169</v>
      </c>
      <c r="H19" s="592">
        <v>35000</v>
      </c>
      <c r="I19" s="592"/>
      <c r="J19" s="1279" t="s">
        <v>29</v>
      </c>
      <c r="K19" s="1279"/>
      <c r="L19" s="601">
        <v>10</v>
      </c>
      <c r="M19" s="1279" t="s">
        <v>29</v>
      </c>
      <c r="N19" s="599">
        <v>10</v>
      </c>
      <c r="O19" s="600" t="s">
        <v>36</v>
      </c>
      <c r="P19" s="603">
        <f>H19*L19*N19</f>
        <v>3500000</v>
      </c>
      <c r="U19" s="1273"/>
      <c r="V19" s="582"/>
    </row>
    <row r="20" spans="1:22" ht="15" customHeight="1">
      <c r="A20" s="137"/>
      <c r="B20" s="147"/>
      <c r="C20" s="156"/>
      <c r="D20" s="158"/>
      <c r="E20" s="157"/>
      <c r="F20" s="1221"/>
      <c r="G20" s="150" t="s">
        <v>361</v>
      </c>
      <c r="H20" s="592"/>
      <c r="I20" s="592"/>
      <c r="J20" s="1279"/>
      <c r="K20" s="1279"/>
      <c r="L20" s="601"/>
      <c r="M20" s="1279"/>
      <c r="N20" s="599"/>
      <c r="O20" s="600"/>
      <c r="P20" s="602">
        <f>SUM(P21:P25)</f>
        <v>277294500</v>
      </c>
      <c r="U20" s="1273"/>
      <c r="V20" s="582"/>
    </row>
    <row r="21" spans="1:22" ht="15" customHeight="1">
      <c r="A21" s="137"/>
      <c r="B21" s="147"/>
      <c r="C21" s="156"/>
      <c r="D21" s="158"/>
      <c r="E21" s="157"/>
      <c r="F21" s="1221"/>
      <c r="G21" s="150" t="s">
        <v>173</v>
      </c>
      <c r="H21" s="592">
        <v>1000000</v>
      </c>
      <c r="I21" s="592"/>
      <c r="J21" s="1279" t="s">
        <v>29</v>
      </c>
      <c r="K21" s="1279"/>
      <c r="L21" s="601">
        <v>40</v>
      </c>
      <c r="M21" s="1279" t="s">
        <v>29</v>
      </c>
      <c r="N21" s="917">
        <v>1</v>
      </c>
      <c r="O21" s="600" t="s">
        <v>36</v>
      </c>
      <c r="P21" s="603">
        <f>H21*L21*N21</f>
        <v>40000000</v>
      </c>
      <c r="U21" s="1273"/>
      <c r="V21" s="582"/>
    </row>
    <row r="22" spans="1:22" ht="15" customHeight="1">
      <c r="A22" s="137"/>
      <c r="B22" s="147"/>
      <c r="C22" s="156"/>
      <c r="D22" s="158"/>
      <c r="E22" s="157"/>
      <c r="F22" s="1221"/>
      <c r="G22" s="541" t="s">
        <v>157</v>
      </c>
      <c r="H22" s="592">
        <v>200000</v>
      </c>
      <c r="I22" s="592"/>
      <c r="J22" s="1279" t="s">
        <v>29</v>
      </c>
      <c r="K22" s="1279"/>
      <c r="L22" s="601">
        <v>100</v>
      </c>
      <c r="M22" s="1279" t="s">
        <v>29</v>
      </c>
      <c r="N22" s="917">
        <v>5</v>
      </c>
      <c r="O22" s="600" t="s">
        <v>36</v>
      </c>
      <c r="P22" s="603">
        <f>H22*L22*N22</f>
        <v>100000000</v>
      </c>
      <c r="U22" s="1273"/>
      <c r="V22" s="582"/>
    </row>
    <row r="23" spans="1:22" ht="15" customHeight="1">
      <c r="A23" s="137"/>
      <c r="B23" s="147"/>
      <c r="C23" s="156"/>
      <c r="D23" s="158"/>
      <c r="E23" s="157"/>
      <c r="F23" s="1221"/>
      <c r="G23" s="541" t="s">
        <v>154</v>
      </c>
      <c r="H23" s="592">
        <v>600000</v>
      </c>
      <c r="I23" s="592"/>
      <c r="J23" s="1279" t="s">
        <v>29</v>
      </c>
      <c r="K23" s="1279"/>
      <c r="L23" s="601">
        <v>30</v>
      </c>
      <c r="M23" s="1279" t="s">
        <v>29</v>
      </c>
      <c r="N23" s="599">
        <v>1</v>
      </c>
      <c r="O23" s="600" t="s">
        <v>36</v>
      </c>
      <c r="P23" s="603">
        <f>H23*L23*N23</f>
        <v>18000000</v>
      </c>
      <c r="U23" s="1273"/>
      <c r="V23" s="582"/>
    </row>
    <row r="24" spans="1:22" ht="15" customHeight="1">
      <c r="A24" s="137"/>
      <c r="B24" s="147"/>
      <c r="C24" s="156"/>
      <c r="D24" s="158"/>
      <c r="E24" s="157"/>
      <c r="F24" s="1221"/>
      <c r="G24" s="541" t="s">
        <v>64</v>
      </c>
      <c r="H24" s="592">
        <v>948130</v>
      </c>
      <c r="I24" s="592"/>
      <c r="J24" s="1279" t="s">
        <v>29</v>
      </c>
      <c r="K24" s="1279"/>
      <c r="L24" s="601">
        <v>110</v>
      </c>
      <c r="M24" s="1279" t="s">
        <v>29</v>
      </c>
      <c r="N24" s="599">
        <v>1</v>
      </c>
      <c r="O24" s="600" t="s">
        <v>36</v>
      </c>
      <c r="P24" s="603">
        <f>H24*L24*N24+200</f>
        <v>104294500</v>
      </c>
      <c r="U24" s="1273"/>
      <c r="V24" s="582"/>
    </row>
    <row r="25" spans="1:22" ht="15" customHeight="1">
      <c r="A25" s="137"/>
      <c r="B25" s="147"/>
      <c r="C25" s="156"/>
      <c r="D25" s="158"/>
      <c r="E25" s="157"/>
      <c r="F25" s="1221"/>
      <c r="G25" s="541" t="s">
        <v>144</v>
      </c>
      <c r="H25" s="592">
        <v>1000000</v>
      </c>
      <c r="I25" s="592"/>
      <c r="J25" s="1279" t="s">
        <v>29</v>
      </c>
      <c r="K25" s="1279"/>
      <c r="L25" s="601">
        <v>15</v>
      </c>
      <c r="M25" s="1279" t="s">
        <v>29</v>
      </c>
      <c r="N25" s="599">
        <v>1</v>
      </c>
      <c r="O25" s="600" t="s">
        <v>36</v>
      </c>
      <c r="P25" s="603">
        <f>H25*L25*N25</f>
        <v>15000000</v>
      </c>
      <c r="U25" s="1273"/>
      <c r="V25" s="582"/>
    </row>
    <row r="26" spans="1:22" ht="15" customHeight="1">
      <c r="A26" s="137"/>
      <c r="B26" s="147"/>
      <c r="C26" s="156"/>
      <c r="D26" s="158"/>
      <c r="E26" s="157"/>
      <c r="F26" s="1221"/>
      <c r="G26" s="541" t="s">
        <v>362</v>
      </c>
      <c r="H26" s="592"/>
      <c r="I26" s="592"/>
      <c r="J26" s="1279"/>
      <c r="K26" s="1279"/>
      <c r="L26" s="601"/>
      <c r="M26" s="1279"/>
      <c r="N26" s="599"/>
      <c r="O26" s="600"/>
      <c r="P26" s="602">
        <f>SUM(P27:P28)</f>
        <v>12000000</v>
      </c>
      <c r="U26" s="1273"/>
      <c r="V26" s="582"/>
    </row>
    <row r="27" spans="1:22" ht="15" customHeight="1">
      <c r="A27" s="137"/>
      <c r="B27" s="147"/>
      <c r="C27" s="156"/>
      <c r="D27" s="158"/>
      <c r="E27" s="157"/>
      <c r="F27" s="1221"/>
      <c r="G27" s="541" t="s">
        <v>20</v>
      </c>
      <c r="H27" s="592">
        <v>150000</v>
      </c>
      <c r="I27" s="592"/>
      <c r="J27" s="1279" t="s">
        <v>29</v>
      </c>
      <c r="K27" s="1279"/>
      <c r="L27" s="1243">
        <v>8</v>
      </c>
      <c r="M27" s="1279" t="s">
        <v>29</v>
      </c>
      <c r="N27" s="917">
        <v>5</v>
      </c>
      <c r="O27" s="600" t="s">
        <v>36</v>
      </c>
      <c r="P27" s="603">
        <f>H27*L27*N27</f>
        <v>6000000</v>
      </c>
      <c r="U27" s="1273"/>
      <c r="V27" s="582"/>
    </row>
    <row r="28" spans="1:22" ht="15" customHeight="1">
      <c r="A28" s="137"/>
      <c r="B28" s="147"/>
      <c r="C28" s="156"/>
      <c r="D28" s="158"/>
      <c r="E28" s="157"/>
      <c r="F28" s="1221"/>
      <c r="G28" s="541" t="s">
        <v>181</v>
      </c>
      <c r="H28" s="592">
        <v>200000</v>
      </c>
      <c r="I28" s="592"/>
      <c r="J28" s="1279" t="s">
        <v>29</v>
      </c>
      <c r="K28" s="1279"/>
      <c r="L28" s="601">
        <v>30</v>
      </c>
      <c r="M28" s="1279" t="s">
        <v>29</v>
      </c>
      <c r="N28" s="599">
        <v>1</v>
      </c>
      <c r="O28" s="600" t="s">
        <v>36</v>
      </c>
      <c r="P28" s="603">
        <f>H28*L28*N28</f>
        <v>6000000</v>
      </c>
      <c r="U28" s="1273"/>
      <c r="V28" s="582"/>
    </row>
    <row r="29" spans="1:22" ht="15" customHeight="1">
      <c r="A29" s="137"/>
      <c r="B29" s="147"/>
      <c r="C29" s="156"/>
      <c r="D29" s="158"/>
      <c r="E29" s="157"/>
      <c r="F29" s="1221"/>
      <c r="G29" s="541" t="s">
        <v>363</v>
      </c>
      <c r="H29" s="592"/>
      <c r="I29" s="592"/>
      <c r="J29" s="1279"/>
      <c r="K29" s="1279"/>
      <c r="L29" s="601"/>
      <c r="M29" s="1279"/>
      <c r="N29" s="599"/>
      <c r="O29" s="600"/>
      <c r="P29" s="602">
        <f>SUM(P30)</f>
        <v>1267200</v>
      </c>
      <c r="U29" s="1273"/>
      <c r="V29" s="582"/>
    </row>
    <row r="30" spans="1:22" ht="15" customHeight="1">
      <c r="A30" s="137"/>
      <c r="B30" s="147"/>
      <c r="C30" s="156"/>
      <c r="D30" s="158"/>
      <c r="E30" s="157"/>
      <c r="F30" s="1221"/>
      <c r="G30" s="541" t="s">
        <v>167</v>
      </c>
      <c r="H30" s="592">
        <v>13200</v>
      </c>
      <c r="I30" s="592"/>
      <c r="J30" s="1279" t="s">
        <v>29</v>
      </c>
      <c r="K30" s="1279"/>
      <c r="L30" s="601">
        <v>8</v>
      </c>
      <c r="M30" s="1279" t="s">
        <v>29</v>
      </c>
      <c r="N30" s="917">
        <v>12</v>
      </c>
      <c r="O30" s="600" t="s">
        <v>36</v>
      </c>
      <c r="P30" s="603">
        <f>H30*L30*N30</f>
        <v>1267200</v>
      </c>
      <c r="U30" s="1273"/>
      <c r="V30" s="582"/>
    </row>
    <row r="31" spans="1:22" ht="15" customHeight="1">
      <c r="A31" s="137"/>
      <c r="B31" s="147"/>
      <c r="C31" s="156"/>
      <c r="D31" s="158"/>
      <c r="E31" s="157"/>
      <c r="F31" s="1221"/>
      <c r="G31" s="541" t="s">
        <v>364</v>
      </c>
      <c r="H31" s="592"/>
      <c r="I31" s="592"/>
      <c r="J31" s="1279"/>
      <c r="K31" s="1279"/>
      <c r="L31" s="601"/>
      <c r="M31" s="1279"/>
      <c r="N31" s="599"/>
      <c r="O31" s="600"/>
      <c r="P31" s="602">
        <f>SUM(P32:P35)</f>
        <v>92970000</v>
      </c>
      <c r="U31" s="1273"/>
      <c r="V31" s="582"/>
    </row>
    <row r="32" spans="1:22" ht="15" customHeight="1">
      <c r="A32" s="137"/>
      <c r="B32" s="147"/>
      <c r="C32" s="156"/>
      <c r="D32" s="158"/>
      <c r="E32" s="157"/>
      <c r="F32" s="1221"/>
      <c r="G32" s="541" t="s">
        <v>275</v>
      </c>
      <c r="H32" s="592">
        <v>234375</v>
      </c>
      <c r="I32" s="592"/>
      <c r="J32" s="1279" t="s">
        <v>29</v>
      </c>
      <c r="K32" s="1279"/>
      <c r="L32" s="601">
        <v>16</v>
      </c>
      <c r="M32" s="1279" t="s">
        <v>29</v>
      </c>
      <c r="N32" s="599">
        <v>12</v>
      </c>
      <c r="O32" s="600" t="s">
        <v>36</v>
      </c>
      <c r="P32" s="603">
        <f>H32*L32*N32</f>
        <v>45000000</v>
      </c>
      <c r="U32" s="1273"/>
      <c r="V32" s="582"/>
    </row>
    <row r="33" spans="1:22" ht="15" customHeight="1">
      <c r="A33" s="137"/>
      <c r="B33" s="147"/>
      <c r="C33" s="156"/>
      <c r="D33" s="158"/>
      <c r="E33" s="157"/>
      <c r="F33" s="1221"/>
      <c r="G33" s="541" t="s">
        <v>162</v>
      </c>
      <c r="H33" s="592">
        <v>25000</v>
      </c>
      <c r="I33" s="592"/>
      <c r="J33" s="1279" t="s">
        <v>29</v>
      </c>
      <c r="K33" s="1279"/>
      <c r="L33" s="601">
        <v>75</v>
      </c>
      <c r="M33" s="1279" t="s">
        <v>29</v>
      </c>
      <c r="N33" s="599">
        <v>12</v>
      </c>
      <c r="O33" s="600" t="s">
        <v>36</v>
      </c>
      <c r="P33" s="603">
        <f>H33*L33*N33</f>
        <v>22500000</v>
      </c>
      <c r="U33" s="1273"/>
      <c r="V33" s="582"/>
    </row>
    <row r="34" spans="1:22" ht="15" customHeight="1">
      <c r="A34" s="137"/>
      <c r="B34" s="147"/>
      <c r="C34" s="156"/>
      <c r="D34" s="158"/>
      <c r="E34" s="157"/>
      <c r="F34" s="1221"/>
      <c r="G34" s="541" t="s">
        <v>288</v>
      </c>
      <c r="H34" s="592">
        <v>30000</v>
      </c>
      <c r="I34" s="592"/>
      <c r="J34" s="1279" t="s">
        <v>29</v>
      </c>
      <c r="K34" s="1279"/>
      <c r="L34" s="601">
        <v>30</v>
      </c>
      <c r="M34" s="1279" t="s">
        <v>29</v>
      </c>
      <c r="N34" s="917">
        <v>12</v>
      </c>
      <c r="O34" s="600" t="s">
        <v>36</v>
      </c>
      <c r="P34" s="603">
        <f>H34*L34*N34+5470000</f>
        <v>16270000</v>
      </c>
      <c r="U34" s="1273"/>
      <c r="V34" s="582"/>
    </row>
    <row r="35" spans="1:22" ht="15" customHeight="1">
      <c r="A35" s="137"/>
      <c r="B35" s="147"/>
      <c r="C35" s="156"/>
      <c r="D35" s="158"/>
      <c r="E35" s="157"/>
      <c r="F35" s="1221"/>
      <c r="G35" s="541" t="s">
        <v>280</v>
      </c>
      <c r="H35" s="592">
        <v>92000</v>
      </c>
      <c r="I35" s="592"/>
      <c r="J35" s="1279" t="s">
        <v>29</v>
      </c>
      <c r="K35" s="1279"/>
      <c r="L35" s="601">
        <v>25</v>
      </c>
      <c r="M35" s="1279" t="s">
        <v>29</v>
      </c>
      <c r="N35" s="599">
        <v>4</v>
      </c>
      <c r="O35" s="600" t="s">
        <v>36</v>
      </c>
      <c r="P35" s="603">
        <f>H35*L35*N35</f>
        <v>9200000</v>
      </c>
      <c r="U35" s="1273"/>
      <c r="V35" s="582"/>
    </row>
    <row r="36" spans="1:22" ht="15" customHeight="1">
      <c r="A36" s="137"/>
      <c r="B36" s="147"/>
      <c r="C36" s="156"/>
      <c r="D36" s="158"/>
      <c r="E36" s="157"/>
      <c r="F36" s="1221"/>
      <c r="G36" s="150" t="s">
        <v>365</v>
      </c>
      <c r="H36" s="592"/>
      <c r="I36" s="592"/>
      <c r="J36" s="1279"/>
      <c r="K36" s="1279"/>
      <c r="L36" s="601"/>
      <c r="M36" s="1279"/>
      <c r="N36" s="599"/>
      <c r="O36" s="600"/>
      <c r="P36" s="602">
        <f>SUM(P37:P37)</f>
        <v>20600000</v>
      </c>
      <c r="U36" s="1273"/>
      <c r="V36" s="582"/>
    </row>
    <row r="37" spans="1:22" s="159" customFormat="1" ht="15" customHeight="1">
      <c r="A37" s="137"/>
      <c r="B37" s="147"/>
      <c r="C37" s="156"/>
      <c r="D37" s="158"/>
      <c r="E37" s="157"/>
      <c r="F37" s="1221"/>
      <c r="G37" s="541" t="s">
        <v>147</v>
      </c>
      <c r="H37" s="592">
        <v>172000</v>
      </c>
      <c r="I37" s="592"/>
      <c r="J37" s="1279" t="s">
        <v>29</v>
      </c>
      <c r="K37" s="1279"/>
      <c r="L37" s="1337">
        <v>10</v>
      </c>
      <c r="M37" s="1279" t="s">
        <v>29</v>
      </c>
      <c r="N37" s="917">
        <v>12</v>
      </c>
      <c r="O37" s="600" t="s">
        <v>36</v>
      </c>
      <c r="P37" s="603">
        <f>H37*L37*N37-40000</f>
        <v>20600000</v>
      </c>
      <c r="Q37" s="1262"/>
      <c r="U37" s="1273"/>
      <c r="V37" s="582"/>
    </row>
    <row r="38" spans="1:22" s="159" customFormat="1" ht="15" customHeight="1">
      <c r="A38" s="137"/>
      <c r="B38" s="147"/>
      <c r="C38" s="156"/>
      <c r="D38" s="158"/>
      <c r="E38" s="157"/>
      <c r="F38" s="1221"/>
      <c r="G38" s="541" t="s">
        <v>366</v>
      </c>
      <c r="H38" s="592"/>
      <c r="I38" s="592"/>
      <c r="J38" s="1279"/>
      <c r="K38" s="1279"/>
      <c r="L38" s="601"/>
      <c r="M38" s="1279"/>
      <c r="N38" s="599"/>
      <c r="O38" s="600"/>
      <c r="P38" s="602">
        <f>SUM(P39:P42)</f>
        <v>14400000</v>
      </c>
      <c r="Q38" s="1262"/>
      <c r="U38" s="1273"/>
      <c r="V38" s="582"/>
    </row>
    <row r="39" spans="1:22" s="159" customFormat="1" ht="15" customHeight="1">
      <c r="A39" s="137"/>
      <c r="B39" s="147"/>
      <c r="C39" s="156"/>
      <c r="D39" s="158"/>
      <c r="E39" s="157"/>
      <c r="F39" s="1221"/>
      <c r="G39" s="541" t="s">
        <v>163</v>
      </c>
      <c r="H39" s="592">
        <v>1000000</v>
      </c>
      <c r="I39" s="592"/>
      <c r="J39" s="1279" t="s">
        <v>29</v>
      </c>
      <c r="K39" s="1279"/>
      <c r="L39" s="601">
        <v>3</v>
      </c>
      <c r="M39" s="1279" t="s">
        <v>29</v>
      </c>
      <c r="N39" s="599">
        <v>1</v>
      </c>
      <c r="O39" s="600" t="s">
        <v>36</v>
      </c>
      <c r="P39" s="603">
        <f>H39*L39*N39</f>
        <v>3000000</v>
      </c>
      <c r="Q39" s="1262"/>
      <c r="U39" s="1273"/>
      <c r="V39" s="582"/>
    </row>
    <row r="40" spans="1:22" s="159" customFormat="1" ht="15" customHeight="1">
      <c r="A40" s="137"/>
      <c r="B40" s="147"/>
      <c r="C40" s="156"/>
      <c r="D40" s="158"/>
      <c r="E40" s="157"/>
      <c r="F40" s="1221"/>
      <c r="G40" s="541" t="s">
        <v>274</v>
      </c>
      <c r="H40" s="592">
        <v>100000</v>
      </c>
      <c r="I40" s="592"/>
      <c r="J40" s="1279" t="s">
        <v>29</v>
      </c>
      <c r="K40" s="1279"/>
      <c r="L40" s="601">
        <v>6</v>
      </c>
      <c r="M40" s="1279" t="s">
        <v>29</v>
      </c>
      <c r="N40" s="599">
        <v>1</v>
      </c>
      <c r="O40" s="600" t="s">
        <v>36</v>
      </c>
      <c r="P40" s="603">
        <f>H40*L40*N40</f>
        <v>600000</v>
      </c>
      <c r="Q40" s="1262"/>
      <c r="U40" s="1273"/>
      <c r="V40" s="582"/>
    </row>
    <row r="41" spans="1:22" s="159" customFormat="1" ht="15" customHeight="1">
      <c r="A41" s="137"/>
      <c r="B41" s="147"/>
      <c r="C41" s="156"/>
      <c r="D41" s="158"/>
      <c r="E41" s="157"/>
      <c r="F41" s="1221"/>
      <c r="G41" s="541" t="s">
        <v>287</v>
      </c>
      <c r="H41" s="592">
        <v>160000</v>
      </c>
      <c r="I41" s="592"/>
      <c r="J41" s="1279" t="s">
        <v>29</v>
      </c>
      <c r="K41" s="1279"/>
      <c r="L41" s="1243">
        <v>30</v>
      </c>
      <c r="M41" s="1279" t="s">
        <v>29</v>
      </c>
      <c r="N41" s="599">
        <v>1</v>
      </c>
      <c r="O41" s="600" t="s">
        <v>36</v>
      </c>
      <c r="P41" s="603">
        <f>H41*L41</f>
        <v>4800000</v>
      </c>
      <c r="Q41" s="1262"/>
      <c r="U41" s="1273"/>
      <c r="V41" s="582"/>
    </row>
    <row r="42" spans="1:22" s="159" customFormat="1" ht="15" customHeight="1">
      <c r="A42" s="137"/>
      <c r="B42" s="147"/>
      <c r="C42" s="156"/>
      <c r="D42" s="158"/>
      <c r="E42" s="157"/>
      <c r="F42" s="1221"/>
      <c r="G42" s="541" t="s">
        <v>295</v>
      </c>
      <c r="H42" s="592">
        <v>400000</v>
      </c>
      <c r="I42" s="592"/>
      <c r="J42" s="1279" t="s">
        <v>29</v>
      </c>
      <c r="K42" s="1279"/>
      <c r="L42" s="601">
        <v>15</v>
      </c>
      <c r="M42" s="1279" t="s">
        <v>29</v>
      </c>
      <c r="N42" s="599">
        <v>1</v>
      </c>
      <c r="O42" s="600" t="s">
        <v>36</v>
      </c>
      <c r="P42" s="151">
        <f>H42*L42*N42</f>
        <v>6000000</v>
      </c>
      <c r="Q42" s="1262"/>
      <c r="U42" s="1273"/>
      <c r="V42" s="582"/>
    </row>
    <row r="43" spans="1:22" s="159" customFormat="1" ht="15" customHeight="1">
      <c r="A43" s="137"/>
      <c r="B43" s="147"/>
      <c r="C43" s="156"/>
      <c r="D43" s="158"/>
      <c r="E43" s="157"/>
      <c r="F43" s="1221"/>
      <c r="G43" s="150" t="s">
        <v>367</v>
      </c>
      <c r="H43" s="592">
        <v>40000</v>
      </c>
      <c r="I43" s="592"/>
      <c r="J43" s="1279" t="s">
        <v>29</v>
      </c>
      <c r="K43" s="1279"/>
      <c r="L43" s="601">
        <v>6</v>
      </c>
      <c r="M43" s="1279" t="s">
        <v>29</v>
      </c>
      <c r="N43" s="599">
        <v>1</v>
      </c>
      <c r="O43" s="600" t="s">
        <v>36</v>
      </c>
      <c r="P43" s="602">
        <f>H43*L43*N43</f>
        <v>240000</v>
      </c>
      <c r="Q43" s="1262"/>
      <c r="U43" s="1273"/>
      <c r="V43" s="582"/>
    </row>
    <row r="44" spans="1:22" ht="15" customHeight="1">
      <c r="A44" s="137"/>
      <c r="B44" s="160"/>
      <c r="C44" s="162" t="s">
        <v>56</v>
      </c>
      <c r="D44" s="142">
        <v>97707300</v>
      </c>
      <c r="E44" s="163">
        <f>SUM(P44)</f>
        <v>115743780</v>
      </c>
      <c r="F44" s="986">
        <f>E44-D44</f>
        <v>18036480</v>
      </c>
      <c r="G44" s="542"/>
      <c r="H44" s="543"/>
      <c r="I44" s="543"/>
      <c r="J44" s="544"/>
      <c r="K44" s="544"/>
      <c r="L44" s="545"/>
      <c r="M44" s="544"/>
      <c r="N44" s="546"/>
      <c r="O44" s="547"/>
      <c r="P44" s="548">
        <f>SUM(P45:P47)</f>
        <v>115743780</v>
      </c>
      <c r="U44" s="1273"/>
      <c r="V44" s="582"/>
    </row>
    <row r="45" spans="1:22" ht="15" customHeight="1">
      <c r="A45" s="136"/>
      <c r="B45" s="161"/>
      <c r="C45" s="588"/>
      <c r="D45" s="589"/>
      <c r="E45" s="590"/>
      <c r="F45" s="1222"/>
      <c r="G45" s="549" t="s">
        <v>371</v>
      </c>
      <c r="H45" s="592">
        <v>8350</v>
      </c>
      <c r="I45" s="592"/>
      <c r="J45" s="1279" t="s">
        <v>29</v>
      </c>
      <c r="K45" s="1279"/>
      <c r="L45" s="601">
        <v>300</v>
      </c>
      <c r="M45" s="1279" t="s">
        <v>29</v>
      </c>
      <c r="N45" s="599">
        <v>6</v>
      </c>
      <c r="O45" s="600" t="s">
        <v>36</v>
      </c>
      <c r="P45" s="603">
        <f>H45*L45*N45</f>
        <v>15030000</v>
      </c>
      <c r="U45" s="1273"/>
      <c r="V45" s="582"/>
    </row>
    <row r="46" spans="1:22" ht="15" customHeight="1">
      <c r="A46" s="136"/>
      <c r="B46" s="161"/>
      <c r="C46" s="1340"/>
      <c r="D46" s="152"/>
      <c r="E46" s="1341"/>
      <c r="F46" s="1221"/>
      <c r="G46" s="568" t="s">
        <v>372</v>
      </c>
      <c r="H46" s="592">
        <v>60000</v>
      </c>
      <c r="I46" s="592"/>
      <c r="J46" s="1279" t="s">
        <v>29</v>
      </c>
      <c r="K46" s="1279"/>
      <c r="L46" s="601">
        <v>489</v>
      </c>
      <c r="M46" s="1279" t="s">
        <v>29</v>
      </c>
      <c r="N46" s="599">
        <v>3.4</v>
      </c>
      <c r="O46" s="600" t="s">
        <v>36</v>
      </c>
      <c r="P46" s="603">
        <f>H46*L46*N46-42220</f>
        <v>99713780</v>
      </c>
      <c r="U46" s="1273"/>
      <c r="V46" s="582"/>
    </row>
    <row r="47" spans="1:22" ht="15" customHeight="1">
      <c r="A47" s="136"/>
      <c r="B47" s="161"/>
      <c r="C47" s="1340"/>
      <c r="D47" s="152"/>
      <c r="E47" s="1341"/>
      <c r="F47" s="1221"/>
      <c r="G47" s="568" t="s">
        <v>373</v>
      </c>
      <c r="H47" s="592">
        <v>20000</v>
      </c>
      <c r="I47" s="592"/>
      <c r="J47" s="1279" t="s">
        <v>29</v>
      </c>
      <c r="K47" s="1279"/>
      <c r="L47" s="601">
        <v>25</v>
      </c>
      <c r="M47" s="1279" t="s">
        <v>29</v>
      </c>
      <c r="N47" s="599">
        <v>2</v>
      </c>
      <c r="O47" s="600" t="s">
        <v>36</v>
      </c>
      <c r="P47" s="603">
        <f>H47*L47*N47</f>
        <v>1000000</v>
      </c>
      <c r="U47" s="1273"/>
      <c r="V47" s="582"/>
    </row>
    <row r="48" spans="1:22" s="1025" customFormat="1" ht="15" customHeight="1">
      <c r="A48" s="1101" t="s">
        <v>55</v>
      </c>
      <c r="B48" s="1628" t="s">
        <v>193</v>
      </c>
      <c r="C48" s="1629"/>
      <c r="D48" s="1349">
        <f>D49</f>
        <v>0</v>
      </c>
      <c r="E48" s="1349">
        <f>E49</f>
        <v>0</v>
      </c>
      <c r="F48" s="985">
        <f>E48-D48</f>
        <v>0</v>
      </c>
      <c r="G48" s="1102"/>
      <c r="H48" s="1078"/>
      <c r="I48" s="1078"/>
      <c r="J48" s="1079"/>
      <c r="K48" s="1079"/>
      <c r="L48" s="1103"/>
      <c r="M48" s="1079"/>
      <c r="N48" s="1104"/>
      <c r="O48" s="1105"/>
      <c r="P48" s="1099"/>
      <c r="Q48" s="1074"/>
      <c r="R48" s="159"/>
      <c r="S48" s="1074"/>
      <c r="U48" s="1273"/>
      <c r="V48" s="582"/>
    </row>
    <row r="49" spans="1:22" ht="15" customHeight="1">
      <c r="A49" s="1106"/>
      <c r="B49" s="1107" t="s">
        <v>112</v>
      </c>
      <c r="C49" s="1108" t="s">
        <v>189</v>
      </c>
      <c r="D49" s="1350">
        <f>SUM(D50:D51)</f>
        <v>0</v>
      </c>
      <c r="E49" s="1350">
        <f>SUM(E50:E51)</f>
        <v>0</v>
      </c>
      <c r="F49" s="985">
        <f>E49-D49</f>
        <v>0</v>
      </c>
      <c r="G49" s="1109"/>
      <c r="H49" s="543"/>
      <c r="I49" s="543"/>
      <c r="J49" s="974"/>
      <c r="K49" s="974"/>
      <c r="L49" s="545"/>
      <c r="M49" s="974"/>
      <c r="N49" s="546"/>
      <c r="O49" s="1110"/>
      <c r="P49" s="1111"/>
      <c r="U49" s="1273"/>
      <c r="V49" s="582"/>
    </row>
    <row r="50" spans="1:22" ht="15" customHeight="1">
      <c r="A50" s="1106"/>
      <c r="B50" s="1112"/>
      <c r="C50" s="165" t="s">
        <v>200</v>
      </c>
      <c r="D50" s="166">
        <v>0</v>
      </c>
      <c r="E50" s="166">
        <f>P50</f>
        <v>0</v>
      </c>
      <c r="F50" s="1223">
        <f>E50-D50</f>
        <v>0</v>
      </c>
      <c r="G50" s="561" t="s">
        <v>374</v>
      </c>
      <c r="H50" s="562"/>
      <c r="I50" s="562"/>
      <c r="J50" s="563"/>
      <c r="K50" s="563"/>
      <c r="L50" s="564"/>
      <c r="M50" s="563"/>
      <c r="N50" s="565"/>
      <c r="O50" s="566"/>
      <c r="P50" s="567"/>
      <c r="U50" s="1273"/>
      <c r="V50" s="582"/>
    </row>
    <row r="51" spans="1:22" ht="15" customHeight="1" thickBot="1">
      <c r="A51" s="1113"/>
      <c r="B51" s="1114"/>
      <c r="C51" s="167" t="s">
        <v>199</v>
      </c>
      <c r="D51" s="168">
        <v>0</v>
      </c>
      <c r="E51" s="168">
        <f>P51</f>
        <v>0</v>
      </c>
      <c r="F51" s="1224">
        <f>E51-D51</f>
        <v>0</v>
      </c>
      <c r="G51" s="1528" t="s">
        <v>375</v>
      </c>
      <c r="H51" s="550"/>
      <c r="I51" s="551"/>
      <c r="J51" s="552"/>
      <c r="K51" s="553"/>
      <c r="L51" s="551"/>
      <c r="M51" s="554"/>
      <c r="N51" s="555"/>
      <c r="O51" s="555"/>
      <c r="P51" s="556">
        <v>0</v>
      </c>
      <c r="Q51" s="1309"/>
      <c r="R51" s="1115"/>
      <c r="S51" s="119"/>
      <c r="U51" s="1273"/>
      <c r="V51" s="582"/>
    </row>
    <row r="52" spans="1:22">
      <c r="V52" s="582"/>
    </row>
  </sheetData>
  <mergeCells count="10">
    <mergeCell ref="A5:C5"/>
    <mergeCell ref="B6:C6"/>
    <mergeCell ref="B12:C12"/>
    <mergeCell ref="B48:C48"/>
    <mergeCell ref="A1:P1"/>
    <mergeCell ref="A3:C3"/>
    <mergeCell ref="D3:D4"/>
    <mergeCell ref="E3:E4"/>
    <mergeCell ref="F3:F4"/>
    <mergeCell ref="G3:P4"/>
  </mergeCells>
  <phoneticPr fontId="54" type="noConversion"/>
  <printOptions horizontalCentered="1"/>
  <pageMargins left="0.39347222447395325" right="0.39347222447395325" top="0.74777776002883911" bottom="0.74777776002883911" header="0.31486111879348755" footer="0.31486111879348755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EF79-A00D-407D-9B27-6C2A8E6E2F13}">
  <sheetPr>
    <pageSetUpPr fitToPage="1"/>
  </sheetPr>
  <dimension ref="A1:T35"/>
  <sheetViews>
    <sheetView tabSelected="1" view="pageBreakPreview" topLeftCell="B1" zoomScaleNormal="85" zoomScaleSheetLayoutView="100" workbookViewId="0">
      <selection activeCell="P56" sqref="P56"/>
    </sheetView>
  </sheetViews>
  <sheetFormatPr defaultColWidth="9" defaultRowHeight="16.5"/>
  <cols>
    <col min="1" max="1" width="11.25" style="119" customWidth="1"/>
    <col min="2" max="2" width="8.5" style="119" bestFit="1" customWidth="1"/>
    <col min="3" max="3" width="13.5" style="119" bestFit="1" customWidth="1"/>
    <col min="4" max="4" width="13.5" style="119" customWidth="1"/>
    <col min="5" max="5" width="12.875" style="119" customWidth="1"/>
    <col min="6" max="6" width="11.5" style="119" customWidth="1"/>
    <col min="7" max="7" width="49" style="119" customWidth="1"/>
    <col min="8" max="8" width="11.5" style="119" bestFit="1" customWidth="1"/>
    <col min="9" max="9" width="1.125" style="119" customWidth="1"/>
    <col min="10" max="10" width="1.875" style="119" customWidth="1"/>
    <col min="11" max="11" width="0.875" style="119" customWidth="1"/>
    <col min="12" max="12" width="5.375" style="119" bestFit="1" customWidth="1"/>
    <col min="13" max="13" width="2.25" style="119" customWidth="1"/>
    <col min="14" max="14" width="4.75" style="119" bestFit="1" customWidth="1"/>
    <col min="15" max="15" width="2.375" style="119" customWidth="1"/>
    <col min="16" max="16" width="11.5" style="119" bestFit="1" customWidth="1"/>
    <col min="17" max="17" width="19.875" style="1119" customWidth="1"/>
    <col min="18" max="18" width="16.875" style="1273" customWidth="1"/>
    <col min="19" max="19" width="11.875" style="1273" bestFit="1" customWidth="1"/>
    <col min="20" max="16384" width="9" style="119"/>
  </cols>
  <sheetData>
    <row r="1" spans="1:20" ht="35.1" customHeight="1">
      <c r="A1" s="1611" t="s">
        <v>286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</row>
    <row r="2" spans="1:20" s="1396" customFormat="1" ht="15" customHeight="1" thickBot="1">
      <c r="A2" s="1319" t="s">
        <v>245</v>
      </c>
      <c r="B2" s="1319"/>
      <c r="C2" s="1317"/>
      <c r="D2" s="1312"/>
      <c r="E2" s="1318"/>
      <c r="F2" s="1312"/>
      <c r="G2" s="1317"/>
      <c r="H2" s="1316"/>
      <c r="I2" s="1314"/>
      <c r="J2" s="1315"/>
      <c r="K2" s="1314"/>
      <c r="L2" s="1314"/>
      <c r="M2" s="1313"/>
      <c r="N2" s="1312"/>
      <c r="O2" s="1312"/>
      <c r="P2" s="1311" t="s">
        <v>75</v>
      </c>
    </row>
    <row r="3" spans="1:20" ht="15" customHeight="1">
      <c r="A3" s="1646" t="s">
        <v>250</v>
      </c>
      <c r="B3" s="1647"/>
      <c r="C3" s="1648"/>
      <c r="D3" s="1537" t="s">
        <v>297</v>
      </c>
      <c r="E3" s="1539" t="s">
        <v>299</v>
      </c>
      <c r="F3" s="1597" t="s">
        <v>293</v>
      </c>
      <c r="G3" s="1649" t="s">
        <v>225</v>
      </c>
      <c r="H3" s="1650"/>
      <c r="I3" s="1650"/>
      <c r="J3" s="1650"/>
      <c r="K3" s="1650"/>
      <c r="L3" s="1650"/>
      <c r="M3" s="1650"/>
      <c r="N3" s="1650"/>
      <c r="O3" s="1650"/>
      <c r="P3" s="1651"/>
    </row>
    <row r="4" spans="1:20" ht="15" customHeight="1" thickBot="1">
      <c r="A4" s="1120" t="s">
        <v>0</v>
      </c>
      <c r="B4" s="1121" t="s">
        <v>2</v>
      </c>
      <c r="C4" s="1121" t="s">
        <v>1</v>
      </c>
      <c r="D4" s="1538"/>
      <c r="E4" s="1540"/>
      <c r="F4" s="1598"/>
      <c r="G4" s="1652"/>
      <c r="H4" s="1653"/>
      <c r="I4" s="1653"/>
      <c r="J4" s="1653"/>
      <c r="K4" s="1653"/>
      <c r="L4" s="1653"/>
      <c r="M4" s="1653"/>
      <c r="N4" s="1653"/>
      <c r="O4" s="1653"/>
      <c r="P4" s="1654"/>
    </row>
    <row r="5" spans="1:20" ht="15" customHeight="1">
      <c r="A5" s="1639" t="s">
        <v>194</v>
      </c>
      <c r="B5" s="1640"/>
      <c r="C5" s="1641"/>
      <c r="D5" s="1213">
        <f>D6+D10+D21+D25</f>
        <v>72204000</v>
      </c>
      <c r="E5" s="1122">
        <f>E6+E10+E21+E25</f>
        <v>74533520</v>
      </c>
      <c r="F5" s="1225">
        <f>E5-D5</f>
        <v>2329520</v>
      </c>
      <c r="G5" s="1123"/>
      <c r="H5" s="1124"/>
      <c r="I5" s="1125"/>
      <c r="J5" s="1125"/>
      <c r="K5" s="1125"/>
      <c r="L5" s="1126"/>
      <c r="M5" s="1125"/>
      <c r="N5" s="1127"/>
      <c r="O5" s="1127"/>
      <c r="P5" s="1128"/>
    </row>
    <row r="6" spans="1:20" s="1025" customFormat="1" ht="15" customHeight="1">
      <c r="A6" s="1013" t="s">
        <v>185</v>
      </c>
      <c r="B6" s="1642" t="s">
        <v>193</v>
      </c>
      <c r="C6" s="1643"/>
      <c r="D6" s="1214">
        <f>SUM(D7)</f>
        <v>993000</v>
      </c>
      <c r="E6" s="943">
        <f>SUM(E7)</f>
        <v>1058130</v>
      </c>
      <c r="F6" s="1052">
        <f>E6-D6</f>
        <v>65130</v>
      </c>
      <c r="G6" s="1129"/>
      <c r="H6" s="1130"/>
      <c r="I6" s="1131"/>
      <c r="J6" s="1131"/>
      <c r="K6" s="1131"/>
      <c r="L6" s="1130"/>
      <c r="M6" s="1131"/>
      <c r="N6" s="1132"/>
      <c r="O6" s="1133"/>
      <c r="P6" s="1134"/>
      <c r="Q6" s="1135"/>
      <c r="R6" s="1273"/>
      <c r="S6" s="1273"/>
    </row>
    <row r="7" spans="1:20" ht="15" customHeight="1">
      <c r="A7" s="488"/>
      <c r="B7" s="361" t="s">
        <v>205</v>
      </c>
      <c r="C7" s="302" t="s">
        <v>201</v>
      </c>
      <c r="D7" s="1136">
        <f>SUM(D8)</f>
        <v>993000</v>
      </c>
      <c r="E7" s="865">
        <f>SUM(E8)</f>
        <v>1058130</v>
      </c>
      <c r="F7" s="1009">
        <f>E7-D7</f>
        <v>65130</v>
      </c>
      <c r="G7" s="866"/>
      <c r="H7" s="867"/>
      <c r="I7" s="868"/>
      <c r="J7" s="868"/>
      <c r="K7" s="868"/>
      <c r="L7" s="867"/>
      <c r="M7" s="868"/>
      <c r="N7" s="825"/>
      <c r="O7" s="826"/>
      <c r="P7" s="1137"/>
    </row>
    <row r="8" spans="1:20" ht="15" customHeight="1">
      <c r="A8" s="484"/>
      <c r="B8" s="303"/>
      <c r="C8" s="304" t="s">
        <v>115</v>
      </c>
      <c r="D8" s="517">
        <v>993000</v>
      </c>
      <c r="E8" s="142">
        <f>P9</f>
        <v>1058130</v>
      </c>
      <c r="F8" s="1009">
        <f>E8-D8</f>
        <v>65130</v>
      </c>
      <c r="G8" s="306"/>
      <c r="H8" s="307"/>
      <c r="I8" s="544"/>
      <c r="J8" s="544"/>
      <c r="K8" s="544"/>
      <c r="L8" s="308"/>
      <c r="M8" s="544"/>
      <c r="N8" s="544"/>
      <c r="O8" s="1497"/>
      <c r="P8" s="309"/>
    </row>
    <row r="9" spans="1:20" ht="15" customHeight="1">
      <c r="A9" s="484"/>
      <c r="B9" s="310"/>
      <c r="C9" s="311"/>
      <c r="D9" s="517"/>
      <c r="E9" s="142"/>
      <c r="F9" s="1009"/>
      <c r="G9" s="471" t="s">
        <v>223</v>
      </c>
      <c r="H9" s="307">
        <v>108000</v>
      </c>
      <c r="I9" s="544"/>
      <c r="J9" s="544"/>
      <c r="K9" s="544"/>
      <c r="L9" s="308"/>
      <c r="M9" s="1279" t="s">
        <v>29</v>
      </c>
      <c r="N9" s="1338">
        <v>9.8000000000000007</v>
      </c>
      <c r="O9" s="1279" t="s">
        <v>36</v>
      </c>
      <c r="P9" s="1428">
        <f>H9*N9-270</f>
        <v>1058130</v>
      </c>
    </row>
    <row r="10" spans="1:20" s="1025" customFormat="1" ht="15" customHeight="1">
      <c r="A10" s="1138" t="s">
        <v>227</v>
      </c>
      <c r="B10" s="1642" t="s">
        <v>193</v>
      </c>
      <c r="C10" s="1643"/>
      <c r="D10" s="1215">
        <f>SUM(D11)</f>
        <v>44671000</v>
      </c>
      <c r="E10" s="1139">
        <f>SUM(E11)</f>
        <v>44024476</v>
      </c>
      <c r="F10" s="1226">
        <f>E10-D10</f>
        <v>-646524</v>
      </c>
      <c r="G10" s="1140"/>
      <c r="H10" s="1141"/>
      <c r="I10" s="1142"/>
      <c r="J10" s="1142"/>
      <c r="K10" s="1142"/>
      <c r="L10" s="1143"/>
      <c r="M10" s="1142"/>
      <c r="N10" s="1144"/>
      <c r="O10" s="1145"/>
      <c r="P10" s="1429"/>
      <c r="Q10" s="1135"/>
      <c r="R10" s="1273"/>
      <c r="S10" s="1273"/>
    </row>
    <row r="11" spans="1:20" ht="15" customHeight="1">
      <c r="A11" s="487"/>
      <c r="B11" s="486" t="s">
        <v>221</v>
      </c>
      <c r="C11" s="485" t="s">
        <v>189</v>
      </c>
      <c r="D11" s="517">
        <f>SUM(D12:D20)</f>
        <v>44671000</v>
      </c>
      <c r="E11" s="142">
        <f>SUM(E12:E20)</f>
        <v>44024476</v>
      </c>
      <c r="F11" s="1227">
        <f>E11-D11</f>
        <v>-646524</v>
      </c>
      <c r="G11" s="1146"/>
      <c r="H11" s="1147"/>
      <c r="I11" s="1148"/>
      <c r="J11" s="1148"/>
      <c r="K11" s="1148"/>
      <c r="L11" s="1149"/>
      <c r="M11" s="1148"/>
      <c r="N11" s="1150"/>
      <c r="O11" s="1151"/>
      <c r="P11" s="1430"/>
      <c r="Q11" s="1152"/>
    </row>
    <row r="12" spans="1:20" ht="15" customHeight="1">
      <c r="A12" s="484"/>
      <c r="B12" s="481"/>
      <c r="C12" s="483" t="s">
        <v>118</v>
      </c>
      <c r="D12" s="1216">
        <v>44671000</v>
      </c>
      <c r="E12" s="166">
        <f>SUM(P13,P15)</f>
        <v>44024476</v>
      </c>
      <c r="F12" s="1227">
        <f>E12-D12</f>
        <v>-646524</v>
      </c>
      <c r="G12" s="1123"/>
      <c r="H12" s="1124"/>
      <c r="I12" s="1125"/>
      <c r="J12" s="1125"/>
      <c r="K12" s="1125"/>
      <c r="L12" s="1125"/>
      <c r="M12" s="1125"/>
      <c r="N12" s="1153"/>
      <c r="O12" s="1154"/>
      <c r="P12" s="1431"/>
      <c r="Q12" s="1155"/>
      <c r="R12" s="1156"/>
      <c r="S12" s="1157"/>
      <c r="T12" s="581"/>
    </row>
    <row r="13" spans="1:20" ht="15" customHeight="1">
      <c r="A13" s="479"/>
      <c r="B13" s="481"/>
      <c r="C13" s="482"/>
      <c r="D13" s="371"/>
      <c r="E13" s="224"/>
      <c r="F13" s="1228"/>
      <c r="G13" s="541" t="s">
        <v>364</v>
      </c>
      <c r="H13" s="1395"/>
      <c r="I13" s="469"/>
      <c r="J13" s="469"/>
      <c r="K13" s="469"/>
      <c r="L13" s="469"/>
      <c r="M13" s="469"/>
      <c r="N13" s="1159"/>
      <c r="O13" s="473"/>
      <c r="P13" s="1428">
        <f>SUM(P14)</f>
        <v>1364350</v>
      </c>
      <c r="Q13" s="1155"/>
      <c r="R13" s="1156"/>
      <c r="S13" s="1157"/>
      <c r="T13" s="581"/>
    </row>
    <row r="14" spans="1:20" ht="15" customHeight="1">
      <c r="A14" s="479"/>
      <c r="B14" s="481"/>
      <c r="C14" s="482"/>
      <c r="D14" s="371"/>
      <c r="E14" s="224"/>
      <c r="F14" s="1228"/>
      <c r="G14" s="541" t="s">
        <v>275</v>
      </c>
      <c r="H14" s="592">
        <v>136435</v>
      </c>
      <c r="I14" s="592"/>
      <c r="J14" s="1279"/>
      <c r="K14" s="1279"/>
      <c r="L14" s="1279" t="s">
        <v>29</v>
      </c>
      <c r="M14" s="1279"/>
      <c r="N14" s="599">
        <v>10</v>
      </c>
      <c r="O14" s="600" t="s">
        <v>36</v>
      </c>
      <c r="P14" s="1397">
        <f>H14*N14</f>
        <v>1364350</v>
      </c>
      <c r="Q14" s="1155"/>
      <c r="R14" s="1156"/>
      <c r="S14" s="1157"/>
      <c r="T14" s="581"/>
    </row>
    <row r="15" spans="1:20">
      <c r="A15" s="479"/>
      <c r="B15" s="481"/>
      <c r="C15" s="482"/>
      <c r="D15" s="371"/>
      <c r="E15" s="224"/>
      <c r="F15" s="1228"/>
      <c r="G15" s="591" t="s">
        <v>174</v>
      </c>
      <c r="H15" s="592">
        <v>7110021</v>
      </c>
      <c r="I15" s="593"/>
      <c r="J15" s="593" t="s">
        <v>29</v>
      </c>
      <c r="K15" s="593"/>
      <c r="L15" s="585">
        <v>6</v>
      </c>
      <c r="M15" s="1279" t="s">
        <v>29</v>
      </c>
      <c r="N15" s="586">
        <v>1</v>
      </c>
      <c r="O15" s="1279" t="s">
        <v>36</v>
      </c>
      <c r="P15" s="1432">
        <f>H15*L15*N15</f>
        <v>42660126</v>
      </c>
      <c r="Q15" s="573"/>
      <c r="R15" s="574"/>
      <c r="S15" s="1157"/>
      <c r="T15" s="581"/>
    </row>
    <row r="16" spans="1:20" hidden="1">
      <c r="A16" s="479"/>
      <c r="B16" s="481"/>
      <c r="C16" s="482"/>
      <c r="D16" s="371"/>
      <c r="E16" s="224"/>
      <c r="F16" s="1228"/>
      <c r="G16" s="591"/>
      <c r="H16" s="592"/>
      <c r="I16" s="593"/>
      <c r="J16" s="593"/>
      <c r="K16" s="593"/>
      <c r="L16" s="585"/>
      <c r="M16" s="1279"/>
      <c r="N16" s="586"/>
      <c r="O16" s="1279"/>
      <c r="P16" s="1432"/>
      <c r="Q16" s="573"/>
      <c r="R16" s="574"/>
      <c r="S16" s="1157"/>
      <c r="T16" s="581"/>
    </row>
    <row r="17" spans="1:20" hidden="1">
      <c r="A17" s="479"/>
      <c r="B17" s="481"/>
      <c r="C17" s="482"/>
      <c r="D17" s="371"/>
      <c r="E17" s="224"/>
      <c r="F17" s="1228"/>
      <c r="G17" s="591"/>
      <c r="H17" s="592"/>
      <c r="I17" s="593"/>
      <c r="J17" s="593"/>
      <c r="K17" s="593"/>
      <c r="L17" s="594"/>
      <c r="M17" s="595"/>
      <c r="N17" s="596"/>
      <c r="O17" s="595"/>
      <c r="P17" s="1433"/>
      <c r="Q17" s="573"/>
      <c r="R17" s="574"/>
      <c r="S17" s="1157"/>
      <c r="T17" s="581"/>
    </row>
    <row r="18" spans="1:20">
      <c r="A18" s="479"/>
      <c r="B18" s="481"/>
      <c r="C18" s="480" t="s">
        <v>50</v>
      </c>
      <c r="D18" s="517">
        <v>0</v>
      </c>
      <c r="E18" s="142">
        <f>P19</f>
        <v>0</v>
      </c>
      <c r="F18" s="1227">
        <f>E18-D18</f>
        <v>0</v>
      </c>
      <c r="G18" s="306"/>
      <c r="H18" s="1147"/>
      <c r="I18" s="1148"/>
      <c r="J18" s="1148"/>
      <c r="K18" s="1148"/>
      <c r="L18" s="1148"/>
      <c r="M18" s="1148"/>
      <c r="N18" s="1158"/>
      <c r="O18" s="1151"/>
      <c r="P18" s="1434"/>
      <c r="Q18" s="1352"/>
      <c r="R18" s="574"/>
      <c r="S18" s="1156"/>
      <c r="T18" s="581"/>
    </row>
    <row r="19" spans="1:20">
      <c r="A19" s="479"/>
      <c r="B19" s="481"/>
      <c r="C19" s="480"/>
      <c r="D19" s="517"/>
      <c r="E19" s="142"/>
      <c r="F19" s="1227"/>
      <c r="G19" s="306"/>
      <c r="H19" s="1147"/>
      <c r="I19" s="1148"/>
      <c r="J19" s="1148"/>
      <c r="K19" s="1148"/>
      <c r="L19" s="1148"/>
      <c r="M19" s="469"/>
      <c r="N19" s="1159"/>
      <c r="O19" s="473"/>
      <c r="P19" s="1428"/>
      <c r="Q19" s="1353"/>
      <c r="R19" s="1156"/>
      <c r="S19" s="1156"/>
      <c r="T19" s="581"/>
    </row>
    <row r="20" spans="1:20" ht="15" customHeight="1">
      <c r="A20" s="479"/>
      <c r="B20" s="478"/>
      <c r="C20" s="477" t="s">
        <v>68</v>
      </c>
      <c r="D20" s="517">
        <v>0</v>
      </c>
      <c r="E20" s="142">
        <v>0</v>
      </c>
      <c r="F20" s="1227">
        <f>E20-D20</f>
        <v>0</v>
      </c>
      <c r="G20" s="1146"/>
      <c r="H20" s="1147"/>
      <c r="I20" s="1148"/>
      <c r="J20" s="1148"/>
      <c r="K20" s="1148"/>
      <c r="L20" s="1148"/>
      <c r="M20" s="1148"/>
      <c r="N20" s="1158"/>
      <c r="O20" s="1151"/>
      <c r="P20" s="1429"/>
      <c r="Q20" s="1155"/>
      <c r="R20" s="1156"/>
      <c r="S20" s="1156"/>
      <c r="T20" s="581"/>
    </row>
    <row r="21" spans="1:20" s="1025" customFormat="1" ht="15" customHeight="1">
      <c r="A21" s="1160" t="s">
        <v>187</v>
      </c>
      <c r="B21" s="1642" t="s">
        <v>193</v>
      </c>
      <c r="C21" s="1643"/>
      <c r="D21" s="1217">
        <f>SUM(D22)</f>
        <v>0</v>
      </c>
      <c r="E21" s="1161">
        <f>SUM(E22)</f>
        <v>0</v>
      </c>
      <c r="F21" s="1229">
        <f>E21-D21</f>
        <v>0</v>
      </c>
      <c r="G21" s="1162"/>
      <c r="H21" s="1163"/>
      <c r="I21" s="1164"/>
      <c r="J21" s="1164"/>
      <c r="K21" s="1164"/>
      <c r="L21" s="1164"/>
      <c r="M21" s="1164"/>
      <c r="N21" s="1165"/>
      <c r="O21" s="1166"/>
      <c r="P21" s="1435"/>
      <c r="Q21" s="1167"/>
      <c r="R21" s="1156"/>
      <c r="S21" s="1156"/>
      <c r="T21" s="1168"/>
    </row>
    <row r="22" spans="1:20" ht="15" customHeight="1">
      <c r="A22" s="1644"/>
      <c r="B22" s="486" t="s">
        <v>183</v>
      </c>
      <c r="C22" s="485" t="s">
        <v>189</v>
      </c>
      <c r="D22" s="1218">
        <f>SUM(D23)</f>
        <v>0</v>
      </c>
      <c r="E22" s="476">
        <f>SUM(E23)</f>
        <v>0</v>
      </c>
      <c r="F22" s="1227">
        <f>E22-D22</f>
        <v>0</v>
      </c>
      <c r="G22" s="1146"/>
      <c r="H22" s="1147"/>
      <c r="I22" s="1148"/>
      <c r="J22" s="1148"/>
      <c r="K22" s="1148"/>
      <c r="L22" s="1148"/>
      <c r="M22" s="1148"/>
      <c r="N22" s="1158"/>
      <c r="O22" s="1169"/>
      <c r="P22" s="1430"/>
      <c r="Q22" s="1155"/>
      <c r="R22" s="1156"/>
      <c r="S22" s="1156"/>
      <c r="T22" s="581"/>
    </row>
    <row r="23" spans="1:20" ht="15" customHeight="1">
      <c r="A23" s="1645"/>
      <c r="B23" s="478"/>
      <c r="C23" s="477" t="s">
        <v>191</v>
      </c>
      <c r="D23" s="517">
        <v>0</v>
      </c>
      <c r="E23" s="142">
        <f>SUM(P24)</f>
        <v>0</v>
      </c>
      <c r="F23" s="1227">
        <f>E23-D23</f>
        <v>0</v>
      </c>
      <c r="G23" s="1146"/>
      <c r="H23" s="1170"/>
      <c r="I23" s="1148"/>
      <c r="J23" s="1148"/>
      <c r="K23" s="1148"/>
      <c r="L23" s="1171"/>
      <c r="M23" s="1148"/>
      <c r="N23" s="1150"/>
      <c r="O23" s="1151"/>
      <c r="P23" s="1429"/>
    </row>
    <row r="24" spans="1:20" ht="15" customHeight="1">
      <c r="A24" s="1645"/>
      <c r="B24" s="481"/>
      <c r="C24" s="472"/>
      <c r="D24" s="371"/>
      <c r="E24" s="224"/>
      <c r="F24" s="1228"/>
      <c r="G24" s="471"/>
      <c r="H24" s="470"/>
      <c r="I24" s="469"/>
      <c r="J24" s="469"/>
      <c r="K24" s="469"/>
      <c r="L24" s="475"/>
      <c r="M24" s="469"/>
      <c r="N24" s="474"/>
      <c r="O24" s="473"/>
      <c r="P24" s="1428"/>
      <c r="Q24" s="1172"/>
    </row>
    <row r="25" spans="1:20" ht="15" customHeight="1">
      <c r="A25" s="1173" t="s">
        <v>117</v>
      </c>
      <c r="B25" s="1642" t="s">
        <v>193</v>
      </c>
      <c r="C25" s="1643"/>
      <c r="D25" s="517">
        <f>SUM(D26)</f>
        <v>26540000</v>
      </c>
      <c r="E25" s="142">
        <f>SUM(E26)</f>
        <v>29450914</v>
      </c>
      <c r="F25" s="1230">
        <f>E25-D25</f>
        <v>2910914</v>
      </c>
      <c r="G25" s="1174"/>
      <c r="H25" s="1171"/>
      <c r="I25" s="1170"/>
      <c r="J25" s="1170"/>
      <c r="K25" s="1170"/>
      <c r="L25" s="1175"/>
      <c r="M25" s="1170"/>
      <c r="N25" s="1176"/>
      <c r="O25" s="1177"/>
      <c r="P25" s="1436"/>
    </row>
    <row r="26" spans="1:20" ht="15" customHeight="1">
      <c r="A26" s="1178"/>
      <c r="B26" s="1179" t="s">
        <v>129</v>
      </c>
      <c r="C26" s="1180" t="s">
        <v>189</v>
      </c>
      <c r="D26" s="416">
        <f>SUM(D27:D32)</f>
        <v>26540000</v>
      </c>
      <c r="E26" s="239">
        <f>SUM(E27:E32)</f>
        <v>29450914</v>
      </c>
      <c r="F26" s="1231">
        <f>E26-D26</f>
        <v>2910914</v>
      </c>
      <c r="G26" s="1181"/>
      <c r="H26" s="1182"/>
      <c r="I26" s="1183"/>
      <c r="J26" s="1183"/>
      <c r="K26" s="1183"/>
      <c r="L26" s="1184"/>
      <c r="M26" s="1183"/>
      <c r="N26" s="1185"/>
      <c r="O26" s="1186"/>
      <c r="P26" s="1437"/>
    </row>
    <row r="27" spans="1:20" ht="15" customHeight="1">
      <c r="A27" s="1187"/>
      <c r="B27" s="1188"/>
      <c r="C27" s="468" t="s">
        <v>200</v>
      </c>
      <c r="D27" s="517">
        <v>0</v>
      </c>
      <c r="E27" s="142">
        <f>P27</f>
        <v>0</v>
      </c>
      <c r="F27" s="1230">
        <f>E27-D27</f>
        <v>0</v>
      </c>
      <c r="G27" s="1146"/>
      <c r="H27" s="1171"/>
      <c r="I27" s="1170"/>
      <c r="J27" s="1170"/>
      <c r="K27" s="1170"/>
      <c r="L27" s="1175"/>
      <c r="M27" s="1170"/>
      <c r="N27" s="1176"/>
      <c r="O27" s="1189"/>
      <c r="P27" s="1438"/>
    </row>
    <row r="28" spans="1:20" ht="15" customHeight="1">
      <c r="A28" s="1187"/>
      <c r="B28" s="1118"/>
      <c r="C28" s="467" t="s">
        <v>199</v>
      </c>
      <c r="D28" s="371">
        <v>26540000</v>
      </c>
      <c r="E28" s="224">
        <f>SUM(P29:P29)</f>
        <v>29450914</v>
      </c>
      <c r="F28" s="1059">
        <f>E28-D28</f>
        <v>2910914</v>
      </c>
      <c r="G28" s="471"/>
      <c r="H28" s="475"/>
      <c r="I28" s="1190"/>
      <c r="J28" s="1190"/>
      <c r="K28" s="1190"/>
      <c r="L28" s="1191"/>
      <c r="M28" s="470"/>
      <c r="N28" s="1192"/>
      <c r="O28" s="470"/>
      <c r="P28" s="1439"/>
    </row>
    <row r="29" spans="1:20" ht="15" customHeight="1">
      <c r="A29" s="1187"/>
      <c r="B29" s="1118"/>
      <c r="C29" s="526"/>
      <c r="D29" s="538"/>
      <c r="E29" s="538"/>
      <c r="F29" s="538"/>
      <c r="G29" s="526" t="s">
        <v>59</v>
      </c>
      <c r="H29" s="1193"/>
      <c r="I29" s="1194"/>
      <c r="J29" s="1194"/>
      <c r="K29" s="1194"/>
      <c r="L29" s="1195"/>
      <c r="M29" s="1196"/>
      <c r="N29" s="1197"/>
      <c r="O29" s="1196"/>
      <c r="P29" s="1440">
        <f>SUM(P30:P32)</f>
        <v>29450914</v>
      </c>
    </row>
    <row r="30" spans="1:20" ht="15" customHeight="1">
      <c r="A30" s="1187"/>
      <c r="B30" s="1118"/>
      <c r="C30" s="527"/>
      <c r="D30" s="539"/>
      <c r="E30" s="539"/>
      <c r="F30" s="539"/>
      <c r="G30" s="527" t="s">
        <v>168</v>
      </c>
      <c r="H30" s="1198">
        <v>29218574</v>
      </c>
      <c r="I30" s="1199"/>
      <c r="J30" s="1199"/>
      <c r="K30" s="1199"/>
      <c r="L30" s="1200"/>
      <c r="M30" s="1200" t="s">
        <v>29</v>
      </c>
      <c r="N30" s="1201">
        <v>1</v>
      </c>
      <c r="O30" s="1202" t="s">
        <v>36</v>
      </c>
      <c r="P30" s="1441">
        <f>H30*N30</f>
        <v>29218574</v>
      </c>
    </row>
    <row r="31" spans="1:20" ht="15" customHeight="1">
      <c r="A31" s="1187"/>
      <c r="B31" s="1118"/>
      <c r="C31" s="527"/>
      <c r="D31" s="539"/>
      <c r="E31" s="539"/>
      <c r="F31" s="539"/>
      <c r="G31" s="527" t="s">
        <v>161</v>
      </c>
      <c r="H31" s="1198">
        <v>132340</v>
      </c>
      <c r="I31" s="1199"/>
      <c r="J31" s="1199"/>
      <c r="K31" s="1199"/>
      <c r="L31" s="1200"/>
      <c r="M31" s="1200" t="s">
        <v>29</v>
      </c>
      <c r="N31" s="1201">
        <v>1</v>
      </c>
      <c r="O31" s="1202" t="s">
        <v>36</v>
      </c>
      <c r="P31" s="1203">
        <f>H31*N31</f>
        <v>132340</v>
      </c>
    </row>
    <row r="32" spans="1:20" ht="15" customHeight="1" thickBot="1">
      <c r="A32" s="1204"/>
      <c r="B32" s="1205"/>
      <c r="C32" s="528"/>
      <c r="D32" s="540"/>
      <c r="E32" s="540"/>
      <c r="F32" s="540"/>
      <c r="G32" s="528" t="s">
        <v>281</v>
      </c>
      <c r="H32" s="1206">
        <v>100000</v>
      </c>
      <c r="I32" s="1207"/>
      <c r="J32" s="1207"/>
      <c r="K32" s="1207"/>
      <c r="L32" s="1208"/>
      <c r="M32" s="1208" t="s">
        <v>29</v>
      </c>
      <c r="N32" s="1209">
        <v>1</v>
      </c>
      <c r="O32" s="1210" t="s">
        <v>36</v>
      </c>
      <c r="P32" s="1211">
        <f>H32*N32</f>
        <v>100000</v>
      </c>
    </row>
    <row r="34" spans="5:16">
      <c r="P34" s="582"/>
    </row>
    <row r="35" spans="5:16">
      <c r="E35" s="1212"/>
    </row>
  </sheetData>
  <mergeCells count="12">
    <mergeCell ref="B25:C25"/>
    <mergeCell ref="A1:P1"/>
    <mergeCell ref="A3:C3"/>
    <mergeCell ref="D3:D4"/>
    <mergeCell ref="E3:E4"/>
    <mergeCell ref="F3:F4"/>
    <mergeCell ref="G3:P4"/>
    <mergeCell ref="A5:C5"/>
    <mergeCell ref="B6:C6"/>
    <mergeCell ref="B10:C10"/>
    <mergeCell ref="B21:C21"/>
    <mergeCell ref="A22:A24"/>
  </mergeCells>
  <phoneticPr fontId="54" type="noConversion"/>
  <printOptions horizontalCentered="1"/>
  <pageMargins left="0.39347222447395325" right="0.39347222447395325" top="0.74777776002883911" bottom="0.74777776002883911" header="0.31486111879348755" footer="0.31486111879348755"/>
  <pageSetup paperSize="9" scale="79" orientation="landscape" r:id="rId1"/>
  <rowBreaks count="1" manualBreakCount="1">
    <brk id="36" max="104857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K18"/>
  <sheetViews>
    <sheetView view="pageBreakPreview" zoomScaleNormal="100" zoomScaleSheetLayoutView="100" workbookViewId="0">
      <pane ySplit="3" topLeftCell="A8" activePane="bottomLeft" state="frozen"/>
      <selection pane="bottomLeft" activeCell="F11" sqref="F11"/>
    </sheetView>
  </sheetViews>
  <sheetFormatPr defaultColWidth="9.875" defaultRowHeight="13.5"/>
  <cols>
    <col min="1" max="1" width="5.75" style="612" customWidth="1"/>
    <col min="2" max="3" width="11.25" style="612" customWidth="1"/>
    <col min="4" max="4" width="15.625" style="612" bestFit="1" customWidth="1"/>
    <col min="5" max="6" width="14.375" style="612" bestFit="1" customWidth="1"/>
    <col min="7" max="7" width="15.625" style="612" bestFit="1" customWidth="1"/>
    <col min="8" max="8" width="12.875" style="612" bestFit="1" customWidth="1"/>
    <col min="9" max="9" width="12.875" style="612" customWidth="1"/>
    <col min="10" max="10" width="9.875" style="612"/>
    <col min="11" max="11" width="14.375" style="612" bestFit="1" customWidth="1"/>
    <col min="12" max="16384" width="9.875" style="612"/>
  </cols>
  <sheetData>
    <row r="1" spans="1:11" s="624" customFormat="1" ht="61.5" customHeight="1" thickBot="1">
      <c r="A1" s="1655" t="s">
        <v>83</v>
      </c>
      <c r="B1" s="1656"/>
      <c r="C1" s="1656"/>
      <c r="D1" s="1656"/>
      <c r="E1" s="1656"/>
      <c r="F1" s="1656"/>
      <c r="G1" s="1656"/>
      <c r="H1" s="1656"/>
      <c r="I1" s="1656"/>
    </row>
    <row r="2" spans="1:11" s="613" customFormat="1" ht="32.25" customHeight="1">
      <c r="A2" s="1657" t="s">
        <v>34</v>
      </c>
      <c r="B2" s="1659" t="s">
        <v>82</v>
      </c>
      <c r="C2" s="1661" t="s">
        <v>27</v>
      </c>
      <c r="D2" s="1663" t="s">
        <v>33</v>
      </c>
      <c r="E2" s="1665" t="s">
        <v>32</v>
      </c>
      <c r="F2" s="1666"/>
      <c r="G2" s="1661" t="s">
        <v>4</v>
      </c>
      <c r="H2" s="1661" t="s">
        <v>31</v>
      </c>
      <c r="I2" s="1667" t="s">
        <v>270</v>
      </c>
    </row>
    <row r="3" spans="1:11" s="613" customFormat="1" ht="32.25" customHeight="1" thickBot="1">
      <c r="A3" s="1658"/>
      <c r="B3" s="1660"/>
      <c r="C3" s="1662"/>
      <c r="D3" s="1664"/>
      <c r="E3" s="623" t="s">
        <v>379</v>
      </c>
      <c r="F3" s="623" t="s">
        <v>267</v>
      </c>
      <c r="G3" s="1662"/>
      <c r="H3" s="1662"/>
      <c r="I3" s="1668"/>
    </row>
    <row r="4" spans="1:11" s="613" customFormat="1" ht="48" customHeight="1" thickTop="1">
      <c r="A4" s="1257">
        <v>1</v>
      </c>
      <c r="B4" s="1258" t="s">
        <v>30</v>
      </c>
      <c r="C4" s="1263" t="s">
        <v>5</v>
      </c>
      <c r="D4" s="1259">
        <v>58314400</v>
      </c>
      <c r="E4" s="1487">
        <f>1440000+1800000+600000</f>
        <v>3840000</v>
      </c>
      <c r="F4" s="1260">
        <v>5805840</v>
      </c>
      <c r="G4" s="1260">
        <f t="shared" ref="G4:G15" si="0">SUM(D4:F4)</f>
        <v>67960240</v>
      </c>
      <c r="H4" s="1260">
        <f>ROUND(G4*10.16%,-1)</f>
        <v>6904760</v>
      </c>
      <c r="I4" s="1261">
        <f>G4-H4</f>
        <v>61055480</v>
      </c>
    </row>
    <row r="5" spans="1:11" s="613" customFormat="1" ht="48" customHeight="1">
      <c r="A5" s="619">
        <v>2</v>
      </c>
      <c r="B5" s="1339" t="s">
        <v>272</v>
      </c>
      <c r="C5" s="617" t="s">
        <v>22</v>
      </c>
      <c r="D5" s="618">
        <v>42917700</v>
      </c>
      <c r="E5" s="616">
        <f>720000+1800000+600000</f>
        <v>3120000</v>
      </c>
      <c r="F5" s="616">
        <v>4270020</v>
      </c>
      <c r="G5" s="616">
        <f t="shared" si="0"/>
        <v>50307720</v>
      </c>
      <c r="H5" s="616">
        <f t="shared" ref="H5:H15" si="1">ROUND(G5*10.16%,-1)</f>
        <v>5111260</v>
      </c>
      <c r="I5" s="615">
        <f t="shared" ref="I5:I15" si="2">G5-H5</f>
        <v>45196460</v>
      </c>
    </row>
    <row r="6" spans="1:11" s="613" customFormat="1" ht="48" customHeight="1">
      <c r="A6" s="619">
        <v>3</v>
      </c>
      <c r="B6" s="622" t="s">
        <v>272</v>
      </c>
      <c r="C6" s="617" t="s">
        <v>23</v>
      </c>
      <c r="D6" s="618">
        <v>44301100</v>
      </c>
      <c r="E6" s="616">
        <f>6209190+1800000+600000</f>
        <v>8609190</v>
      </c>
      <c r="F6" s="616">
        <v>4436820</v>
      </c>
      <c r="G6" s="616">
        <f t="shared" si="0"/>
        <v>57347110</v>
      </c>
      <c r="H6" s="616">
        <f t="shared" si="1"/>
        <v>5826470</v>
      </c>
      <c r="I6" s="615">
        <f t="shared" si="2"/>
        <v>51520640</v>
      </c>
    </row>
    <row r="7" spans="1:11" s="613" customFormat="1" ht="48" customHeight="1">
      <c r="A7" s="619">
        <v>4</v>
      </c>
      <c r="B7" s="622" t="s">
        <v>269</v>
      </c>
      <c r="C7" s="617" t="s">
        <v>38</v>
      </c>
      <c r="D7" s="618">
        <v>38258400</v>
      </c>
      <c r="E7" s="616">
        <f>4598640+1800000+600000</f>
        <v>6998640</v>
      </c>
      <c r="F7" s="616">
        <v>3825840</v>
      </c>
      <c r="G7" s="616">
        <f t="shared" si="0"/>
        <v>49082880</v>
      </c>
      <c r="H7" s="616">
        <f t="shared" si="1"/>
        <v>4986820</v>
      </c>
      <c r="I7" s="615">
        <f t="shared" si="2"/>
        <v>44096060</v>
      </c>
    </row>
    <row r="8" spans="1:11" s="613" customFormat="1" ht="48" customHeight="1">
      <c r="A8" s="619">
        <v>5</v>
      </c>
      <c r="B8" s="1339" t="s">
        <v>256</v>
      </c>
      <c r="C8" s="617" t="s">
        <v>21</v>
      </c>
      <c r="D8" s="618">
        <v>33888000</v>
      </c>
      <c r="E8" s="1488">
        <f>4368140+1800000+600000</f>
        <v>6768140</v>
      </c>
      <c r="F8" s="616">
        <v>3369720</v>
      </c>
      <c r="G8" s="616">
        <f t="shared" si="0"/>
        <v>44025860</v>
      </c>
      <c r="H8" s="616">
        <f t="shared" si="1"/>
        <v>4473030</v>
      </c>
      <c r="I8" s="615">
        <f t="shared" si="2"/>
        <v>39552830</v>
      </c>
    </row>
    <row r="9" spans="1:11" s="613" customFormat="1" ht="48" customHeight="1">
      <c r="A9" s="619">
        <v>6</v>
      </c>
      <c r="B9" s="1339" t="s">
        <v>145</v>
      </c>
      <c r="C9" s="617" t="s">
        <v>24</v>
      </c>
      <c r="D9" s="618">
        <v>32746200</v>
      </c>
      <c r="E9" s="616">
        <f>3765200+1800000+600000</f>
        <v>6165200</v>
      </c>
      <c r="F9" s="616">
        <v>3255600</v>
      </c>
      <c r="G9" s="616">
        <f t="shared" si="0"/>
        <v>42167000</v>
      </c>
      <c r="H9" s="616">
        <f t="shared" si="1"/>
        <v>4284170</v>
      </c>
      <c r="I9" s="615">
        <f t="shared" si="2"/>
        <v>37882830</v>
      </c>
    </row>
    <row r="10" spans="1:11" s="613" customFormat="1" ht="48" customHeight="1">
      <c r="A10" s="619">
        <v>7</v>
      </c>
      <c r="B10" s="1339" t="s">
        <v>145</v>
      </c>
      <c r="C10" s="617" t="s">
        <v>44</v>
      </c>
      <c r="D10" s="618">
        <v>32249400</v>
      </c>
      <c r="E10" s="1488">
        <f>3951720+1800000+600000</f>
        <v>6351720</v>
      </c>
      <c r="F10" s="616">
        <v>3194280</v>
      </c>
      <c r="G10" s="616">
        <f t="shared" si="0"/>
        <v>41795400</v>
      </c>
      <c r="H10" s="616">
        <f t="shared" si="1"/>
        <v>4246410</v>
      </c>
      <c r="I10" s="615">
        <f t="shared" si="2"/>
        <v>37548990</v>
      </c>
    </row>
    <row r="11" spans="1:11" s="613" customFormat="1" ht="48" customHeight="1">
      <c r="A11" s="619">
        <v>8</v>
      </c>
      <c r="B11" s="1339" t="s">
        <v>145</v>
      </c>
      <c r="C11" s="617" t="s">
        <v>43</v>
      </c>
      <c r="D11" s="618">
        <v>32045000</v>
      </c>
      <c r="E11" s="1485">
        <f>4089720+1800000+600000</f>
        <v>6489720</v>
      </c>
      <c r="F11" s="617">
        <v>3194280</v>
      </c>
      <c r="G11" s="616">
        <f t="shared" si="0"/>
        <v>41729000</v>
      </c>
      <c r="H11" s="616">
        <f t="shared" si="1"/>
        <v>4239670</v>
      </c>
      <c r="I11" s="615">
        <f t="shared" si="2"/>
        <v>37489330</v>
      </c>
    </row>
    <row r="12" spans="1:11" s="613" customFormat="1" ht="48" customHeight="1">
      <c r="A12" s="619">
        <v>9</v>
      </c>
      <c r="B12" s="1339" t="s">
        <v>145</v>
      </c>
      <c r="C12" s="617" t="s">
        <v>25</v>
      </c>
      <c r="D12" s="618">
        <v>28878000</v>
      </c>
      <c r="E12" s="1488">
        <f>3108780+1700000+600000</f>
        <v>5408780</v>
      </c>
      <c r="F12" s="616">
        <v>2851800</v>
      </c>
      <c r="G12" s="616">
        <f t="shared" si="0"/>
        <v>37138580</v>
      </c>
      <c r="H12" s="616">
        <f t="shared" si="1"/>
        <v>3773280</v>
      </c>
      <c r="I12" s="615">
        <f t="shared" si="2"/>
        <v>33365300</v>
      </c>
    </row>
    <row r="13" spans="1:11" s="613" customFormat="1" ht="48" customHeight="1">
      <c r="A13" s="619">
        <v>10</v>
      </c>
      <c r="B13" s="621" t="s">
        <v>145</v>
      </c>
      <c r="C13" s="620" t="s">
        <v>40</v>
      </c>
      <c r="D13" s="618">
        <v>28788000</v>
      </c>
      <c r="E13" s="616">
        <f>3579090+1650000+600000</f>
        <v>5829090</v>
      </c>
      <c r="F13" s="616">
        <v>2851800</v>
      </c>
      <c r="G13" s="616">
        <f t="shared" si="0"/>
        <v>37468890</v>
      </c>
      <c r="H13" s="616">
        <f t="shared" si="1"/>
        <v>3806840</v>
      </c>
      <c r="I13" s="615">
        <f t="shared" si="2"/>
        <v>33662050</v>
      </c>
      <c r="J13" s="614"/>
      <c r="K13" s="1489"/>
    </row>
    <row r="14" spans="1:11" s="613" customFormat="1" ht="48" customHeight="1">
      <c r="A14" s="619">
        <v>11</v>
      </c>
      <c r="B14" s="622" t="s">
        <v>262</v>
      </c>
      <c r="C14" s="617" t="s">
        <v>39</v>
      </c>
      <c r="D14" s="618">
        <v>26789200</v>
      </c>
      <c r="E14" s="617">
        <f>3123940+1200000+600000</f>
        <v>4923940</v>
      </c>
      <c r="F14" s="617">
        <v>2598840</v>
      </c>
      <c r="G14" s="616">
        <f t="shared" si="0"/>
        <v>34311980</v>
      </c>
      <c r="H14" s="616">
        <f t="shared" si="1"/>
        <v>3486100</v>
      </c>
      <c r="I14" s="615">
        <f t="shared" si="2"/>
        <v>30825880</v>
      </c>
      <c r="J14" s="614"/>
    </row>
    <row r="15" spans="1:11" s="613" customFormat="1" ht="48" customHeight="1">
      <c r="A15" s="619">
        <v>12</v>
      </c>
      <c r="B15" s="1339" t="s">
        <v>262</v>
      </c>
      <c r="C15" s="617" t="s">
        <v>28</v>
      </c>
      <c r="D15" s="618">
        <v>26589000</v>
      </c>
      <c r="E15" s="1485">
        <f>3342390+1200000+600000</f>
        <v>5142390</v>
      </c>
      <c r="F15" s="617">
        <v>2598840</v>
      </c>
      <c r="G15" s="616">
        <f t="shared" si="0"/>
        <v>34330230</v>
      </c>
      <c r="H15" s="616">
        <f t="shared" si="1"/>
        <v>3487950</v>
      </c>
      <c r="I15" s="615">
        <f t="shared" si="2"/>
        <v>30842280</v>
      </c>
      <c r="J15" s="614"/>
    </row>
    <row r="16" spans="1:11" s="613" customFormat="1" ht="48" customHeight="1">
      <c r="A16" s="619">
        <v>13</v>
      </c>
      <c r="B16" s="1339" t="s">
        <v>26</v>
      </c>
      <c r="C16" s="617" t="s">
        <v>35</v>
      </c>
      <c r="D16" s="618">
        <v>3522214</v>
      </c>
      <c r="E16" s="617">
        <f>326678+200000</f>
        <v>526678</v>
      </c>
      <c r="F16" s="617">
        <v>1643700</v>
      </c>
      <c r="G16" s="616">
        <f>SUM(D16:F16)</f>
        <v>5692592</v>
      </c>
      <c r="H16" s="616">
        <f t="shared" ref="H16:H18" si="3">ROUND(G16*10.16%,-1)</f>
        <v>578370</v>
      </c>
      <c r="I16" s="615">
        <f t="shared" ref="I16:I18" si="4">G16-H16</f>
        <v>5114222</v>
      </c>
      <c r="J16" s="614"/>
    </row>
    <row r="17" spans="1:10" s="613" customFormat="1" ht="48" customHeight="1" thickBot="1">
      <c r="A17" s="1490">
        <v>14</v>
      </c>
      <c r="B17" s="1491" t="s">
        <v>376</v>
      </c>
      <c r="C17" s="1492" t="s">
        <v>377</v>
      </c>
      <c r="D17" s="1493">
        <v>21577121</v>
      </c>
      <c r="E17" s="1494">
        <f>2283960+1100000+550000</f>
        <v>3933960</v>
      </c>
      <c r="F17" s="1494">
        <v>1212360</v>
      </c>
      <c r="G17" s="1495">
        <f>SUM(D17:F17)</f>
        <v>26723441</v>
      </c>
      <c r="H17" s="1495">
        <f t="shared" si="3"/>
        <v>2715100</v>
      </c>
      <c r="I17" s="1496">
        <f t="shared" si="4"/>
        <v>24008341</v>
      </c>
      <c r="J17" s="614"/>
    </row>
    <row r="18" spans="1:10">
      <c r="D18" s="1486">
        <f>SUM(D4:D17)</f>
        <v>450863735</v>
      </c>
      <c r="E18" s="1486">
        <f>SUM(E4:E17)</f>
        <v>74107448</v>
      </c>
      <c r="F18" s="1486">
        <f>SUM(F4:F17)</f>
        <v>45109740</v>
      </c>
      <c r="G18" s="1486">
        <f>SUM(D18:F18)</f>
        <v>570080923</v>
      </c>
      <c r="H18" s="612">
        <f t="shared" si="3"/>
        <v>57920220</v>
      </c>
      <c r="I18" s="612">
        <f t="shared" si="4"/>
        <v>512160703</v>
      </c>
    </row>
  </sheetData>
  <mergeCells count="9">
    <mergeCell ref="A1:I1"/>
    <mergeCell ref="A2:A3"/>
    <mergeCell ref="B2:B3"/>
    <mergeCell ref="C2:C3"/>
    <mergeCell ref="D2:D3"/>
    <mergeCell ref="E2:F2"/>
    <mergeCell ref="H2:H3"/>
    <mergeCell ref="I2:I3"/>
    <mergeCell ref="G2:G3"/>
  </mergeCells>
  <phoneticPr fontId="54" type="noConversion"/>
  <printOptions horizontalCentered="1"/>
  <pageMargins left="0.39347222447395325" right="0.39347222447395325" top="0.59041666984558105" bottom="0.98416668176651001" header="0.51166665554046631" footer="0.51166665554046631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16</vt:i4>
      </vt:variant>
    </vt:vector>
  </HeadingPairs>
  <TitlesOfParts>
    <vt:vector size="26" baseType="lpstr">
      <vt:lpstr>표지</vt:lpstr>
      <vt:lpstr>세입세출총괄</vt:lpstr>
      <vt:lpstr>세입예산서</vt:lpstr>
      <vt:lpstr>세출예산서</vt:lpstr>
      <vt:lpstr>세출예산서(시도보조금_무한)</vt:lpstr>
      <vt:lpstr>세출예산서(시군구보조금_희망)</vt:lpstr>
      <vt:lpstr>세출예산서(후원금)</vt:lpstr>
      <vt:lpstr>세출예산서(잡수입)</vt:lpstr>
      <vt:lpstr>임직원보수일람표</vt:lpstr>
      <vt:lpstr>(법인전입금)</vt:lpstr>
      <vt:lpstr>'(법인전입금)'!Print_Area</vt:lpstr>
      <vt:lpstr>세입세출총괄!Print_Area</vt:lpstr>
      <vt:lpstr>세입예산서!Print_Area</vt:lpstr>
      <vt:lpstr>세출예산서!Print_Area</vt:lpstr>
      <vt:lpstr>'세출예산서(시군구보조금_희망)'!Print_Area</vt:lpstr>
      <vt:lpstr>'세출예산서(시도보조금_무한)'!Print_Area</vt:lpstr>
      <vt:lpstr>'세출예산서(잡수입)'!Print_Area</vt:lpstr>
      <vt:lpstr>'세출예산서(후원금)'!Print_Area</vt:lpstr>
      <vt:lpstr>임직원보수일람표!Print_Area</vt:lpstr>
      <vt:lpstr>세입세출총괄!Print_Titles</vt:lpstr>
      <vt:lpstr>세입예산서!Print_Titles</vt:lpstr>
      <vt:lpstr>세출예산서!Print_Titles</vt:lpstr>
      <vt:lpstr>'세출예산서(시군구보조금_희망)'!Print_Titles</vt:lpstr>
      <vt:lpstr>'세출예산서(시도보조금_무한)'!Print_Titles</vt:lpstr>
      <vt:lpstr>'세출예산서(후원금)'!Print_Titles</vt:lpstr>
      <vt:lpstr>임직원보수일람표!Print_Titles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희망케어03</dc:creator>
  <cp:lastModifiedBy>Ryujuhyun</cp:lastModifiedBy>
  <cp:revision>187</cp:revision>
  <cp:lastPrinted>2022-03-11T04:14:12Z</cp:lastPrinted>
  <dcterms:created xsi:type="dcterms:W3CDTF">2018-06-22T09:18:58Z</dcterms:created>
  <dcterms:modified xsi:type="dcterms:W3CDTF">2022-03-11T05:02:11Z</dcterms:modified>
  <cp:version>0906.0100.01</cp:version>
</cp:coreProperties>
</file>